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Tx calculator" sheetId="1" r:id="rId1"/>
    <sheet name="Generic calculator" sheetId="2" r:id="rId2"/>
    <sheet name="Other" sheetId="3" r:id="rId3"/>
  </sheets>
  <definedNames>
    <definedName name="_xlnm.Print_Area" localSheetId="0">'Tx calculator'!$A$1:$BC$56</definedName>
  </definedNames>
  <calcPr fullCalcOnLoad="1"/>
</workbook>
</file>

<file path=xl/sharedStrings.xml><?xml version="1.0" encoding="utf-8"?>
<sst xmlns="http://schemas.openxmlformats.org/spreadsheetml/2006/main" count="258" uniqueCount="124">
  <si>
    <t>a</t>
  </si>
  <si>
    <t>b</t>
  </si>
  <si>
    <t>c</t>
  </si>
  <si>
    <t>d</t>
  </si>
  <si>
    <t>e</t>
  </si>
  <si>
    <t>a+b-c</t>
  </si>
  <si>
    <t>d+e-c</t>
  </si>
  <si>
    <t>Description of Neighbourhood</t>
  </si>
  <si>
    <t>STEP A</t>
  </si>
  <si>
    <t>Transformer</t>
  </si>
  <si>
    <t>Type of area</t>
  </si>
  <si>
    <t>Background Noise</t>
  </si>
  <si>
    <t>dB</t>
  </si>
  <si>
    <t>Extremely dense transportation or within predominantly industrial districts</t>
  </si>
  <si>
    <t>Very dense transportation or in commercial districts or bordering industrial districts</t>
  </si>
  <si>
    <t>Dense transportation or some commerce or industry</t>
  </si>
  <si>
    <t>Medium density transportation or some commerce or industry</t>
  </si>
  <si>
    <t>Low density transportation</t>
  </si>
  <si>
    <t>Negligible transportation</t>
  </si>
  <si>
    <t>Background level</t>
  </si>
  <si>
    <t>STEP B</t>
  </si>
  <si>
    <t>Transformer Noise</t>
  </si>
  <si>
    <t>Barrier</t>
  </si>
  <si>
    <t>Yes</t>
  </si>
  <si>
    <t>No</t>
  </si>
  <si>
    <t>STEP C</t>
  </si>
  <si>
    <t>STEP D (if required)</t>
  </si>
  <si>
    <t>STEP E</t>
  </si>
  <si>
    <t>Total Predicted Noise</t>
  </si>
  <si>
    <t>Allowable criteria</t>
  </si>
  <si>
    <t>Acceptable?</t>
  </si>
  <si>
    <t>Distance to nearest receiver</t>
  </si>
  <si>
    <t>Wilson</t>
  </si>
  <si>
    <t>City/Suburban Chamber</t>
  </si>
  <si>
    <t>EGN 422: Transformer Noise Calculator</t>
  </si>
  <si>
    <t>Reduction from the barrier</t>
  </si>
  <si>
    <r>
      <t xml:space="preserve">Is there a </t>
    </r>
    <r>
      <rPr>
        <u val="single"/>
        <sz val="10"/>
        <rFont val="Arial"/>
        <family val="2"/>
      </rPr>
      <t>solid barrier</t>
    </r>
    <r>
      <rPr>
        <sz val="10"/>
        <rFont val="Arial"/>
        <family val="0"/>
      </rPr>
      <t xml:space="preserve"> between the transformer (Tx) and the receiver (residence)?</t>
    </r>
  </si>
  <si>
    <t>If yes, enter dimensions in metres below:</t>
  </si>
  <si>
    <r>
      <t>Average Background Level, L</t>
    </r>
    <r>
      <rPr>
        <b/>
        <vertAlign val="subscript"/>
        <sz val="10"/>
        <color indexed="9"/>
        <rFont val="Arial Narrow"/>
        <family val="2"/>
      </rPr>
      <t>A90, T</t>
    </r>
    <r>
      <rPr>
        <b/>
        <sz val="10"/>
        <color indexed="9"/>
        <rFont val="Arial Narrow"/>
        <family val="2"/>
      </rPr>
      <t xml:space="preserve"> dB(A)</t>
    </r>
  </si>
  <si>
    <t>Transformer Sound Power Level</t>
  </si>
  <si>
    <t>dB (Sound Pressure Level)</t>
  </si>
  <si>
    <t>Sound Attenuation Calculator</t>
  </si>
  <si>
    <t>Adding noise sources</t>
  </si>
  <si>
    <t>Dist A</t>
  </si>
  <si>
    <t>m</t>
  </si>
  <si>
    <t>Sound pressure</t>
  </si>
  <si>
    <t>dB - changes with distance</t>
  </si>
  <si>
    <t>Source 1</t>
  </si>
  <si>
    <t>Distance to centre of source</t>
  </si>
  <si>
    <t>m - hemishpere must enclose source</t>
  </si>
  <si>
    <t>Source 2</t>
  </si>
  <si>
    <t>Dist B</t>
  </si>
  <si>
    <t>Measurement surface area</t>
  </si>
  <si>
    <t>m^3 - hemisphere</t>
  </si>
  <si>
    <t>Sound power</t>
  </si>
  <si>
    <t>Noise at B</t>
  </si>
  <si>
    <t>X</t>
  </si>
  <si>
    <t>Source</t>
  </si>
  <si>
    <t>A</t>
  </si>
  <si>
    <t>B</t>
  </si>
  <si>
    <t>Noise at A</t>
  </si>
  <si>
    <t>Sound Power vs Sound Pressure</t>
  </si>
  <si>
    <t>dB - independent of distance</t>
  </si>
  <si>
    <t>ETEL</t>
  </si>
  <si>
    <t xml:space="preserve">E kiosk </t>
  </si>
  <si>
    <t>Tyree</t>
  </si>
  <si>
    <t>Pole Top 3ph</t>
  </si>
  <si>
    <t>Pole Top 1ph</t>
  </si>
  <si>
    <t>Vault/CBD Underground</t>
  </si>
  <si>
    <t>ABB Hitachi</t>
  </si>
  <si>
    <t xml:space="preserve">Dry type </t>
  </si>
  <si>
    <t>L kiosk</t>
  </si>
  <si>
    <t>Schneider</t>
  </si>
  <si>
    <t>K kiosk</t>
  </si>
  <si>
    <t>Jan 2022 revision</t>
  </si>
  <si>
    <t>CW2235421</t>
  </si>
  <si>
    <t>CW2240523</t>
  </si>
  <si>
    <t>CW2227437</t>
  </si>
  <si>
    <t>AG3530/11</t>
  </si>
  <si>
    <t>CW2244809</t>
  </si>
  <si>
    <t>CW2245875</t>
  </si>
  <si>
    <t>* prototype production/ testing in progress</t>
  </si>
  <si>
    <t>EA7578/05</t>
  </si>
  <si>
    <t>City/Suburban Chamber Dual Voltage</t>
  </si>
  <si>
    <t>Are control measures required?</t>
  </si>
  <si>
    <t>Not YET used in calculator. Wait until contract CW2235421 is approved</t>
  </si>
  <si>
    <t>Use these transformers until the ETEL transformers on contract CW2235421 is approved</t>
  </si>
  <si>
    <t>ANSWER</t>
  </si>
  <si>
    <t>Surface between kiosk and receiver</t>
  </si>
  <si>
    <t>Soft - grass/dirt</t>
  </si>
  <si>
    <t>Hard - concrete/ashphalt</t>
  </si>
  <si>
    <t>Dropdown 1</t>
  </si>
  <si>
    <t>Dropdown 2</t>
  </si>
  <si>
    <t>Dropdown 3</t>
  </si>
  <si>
    <t>Is kiosk in front of a masonary wall</t>
  </si>
  <si>
    <t>https://noisetools.net/noisecalculator</t>
  </si>
  <si>
    <t>Equations can be found here</t>
  </si>
  <si>
    <t>(ie additional noise reflects towards receiver)</t>
  </si>
  <si>
    <t>Generic Calculator</t>
  </si>
  <si>
    <t>Known sound pressure</t>
  </si>
  <si>
    <t>… at a distance of</t>
  </si>
  <si>
    <t>Noise source</t>
  </si>
  <si>
    <t>Is source in front of a masonary wall</t>
  </si>
  <si>
    <r>
      <t xml:space="preserve">Is there a </t>
    </r>
    <r>
      <rPr>
        <u val="single"/>
        <sz val="10"/>
        <rFont val="Arial"/>
        <family val="2"/>
      </rPr>
      <t>solid barrier</t>
    </r>
    <r>
      <rPr>
        <sz val="10"/>
        <rFont val="Arial"/>
        <family val="0"/>
      </rPr>
      <t xml:space="preserve"> between the source and the receiver (residence)?</t>
    </r>
  </si>
  <si>
    <t>Reduction due to distance / surface</t>
  </si>
  <si>
    <t>Noise at reciever (no barrier / reflection)</t>
  </si>
  <si>
    <t>Modifying factors</t>
  </si>
  <si>
    <t>Total noise penalty</t>
  </si>
  <si>
    <t>STEP F</t>
  </si>
  <si>
    <t>(refer to table on the right)</t>
  </si>
  <si>
    <t>Version 4 - 11 December 2023</t>
  </si>
  <si>
    <t>Wall height</t>
  </si>
  <si>
    <t>Wall length</t>
  </si>
  <si>
    <t>a=</t>
  </si>
  <si>
    <t>b=</t>
  </si>
  <si>
    <t>c=</t>
  </si>
  <si>
    <t>d=</t>
  </si>
  <si>
    <t>Source height</t>
  </si>
  <si>
    <t>Receiver height</t>
  </si>
  <si>
    <t>e=</t>
  </si>
  <si>
    <t>Calculated Sound Power Level</t>
  </si>
  <si>
    <t>Dist - source to receiver</t>
  </si>
  <si>
    <t>Dist - source to barrier</t>
  </si>
  <si>
    <t>The following can be used to calculate a, b, c, d and 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</si>
</sst>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"/>
    <numFmt numFmtId="171" formatCode="0.0000"/>
    <numFmt numFmtId="172" formatCode="0.0000000"/>
    <numFmt numFmtId="173" formatCode="0.000000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vertAlign val="subscript"/>
      <sz val="10"/>
      <color indexed="9"/>
      <name val="Arial Narrow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3" tint="-0.4999699890613556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theme="3" tint="-0.4999699890613556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 style="thin"/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wrapText="1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 wrapText="1"/>
    </xf>
    <xf numFmtId="0" fontId="62" fillId="33" borderId="0" xfId="0" applyFont="1" applyFill="1" applyAlignment="1">
      <alignment vertical="center"/>
    </xf>
    <xf numFmtId="0" fontId="60" fillId="34" borderId="0" xfId="0" applyFont="1" applyFill="1" applyAlignment="1">
      <alignment/>
    </xf>
    <xf numFmtId="0" fontId="0" fillId="2" borderId="11" xfId="0" applyFill="1" applyBorder="1" applyAlignment="1">
      <alignment wrapText="1"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1" fontId="0" fillId="2" borderId="10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3" xfId="0" applyFill="1" applyBorder="1" applyAlignment="1">
      <alignment wrapText="1"/>
    </xf>
    <xf numFmtId="0" fontId="0" fillId="2" borderId="13" xfId="0" applyFill="1" applyBorder="1" applyAlignment="1">
      <alignment/>
    </xf>
    <xf numFmtId="0" fontId="0" fillId="33" borderId="0" xfId="0" applyFill="1" applyAlignment="1">
      <alignment/>
    </xf>
    <xf numFmtId="0" fontId="0" fillId="2" borderId="14" xfId="0" applyFill="1" applyBorder="1" applyAlignment="1">
      <alignment/>
    </xf>
    <xf numFmtId="0" fontId="0" fillId="0" borderId="13" xfId="0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/>
    </xf>
    <xf numFmtId="0" fontId="9" fillId="0" borderId="14" xfId="0" applyFont="1" applyFill="1" applyBorder="1" applyAlignment="1">
      <alignment/>
    </xf>
    <xf numFmtId="0" fontId="60" fillId="0" borderId="13" xfId="0" applyFont="1" applyFill="1" applyBorder="1" applyAlignment="1">
      <alignment wrapText="1"/>
    </xf>
    <xf numFmtId="0" fontId="60" fillId="0" borderId="13" xfId="0" applyFont="1" applyFill="1" applyBorder="1" applyAlignment="1">
      <alignment/>
    </xf>
    <xf numFmtId="0" fontId="0" fillId="2" borderId="17" xfId="0" applyFill="1" applyBorder="1" applyAlignment="1">
      <alignment/>
    </xf>
    <xf numFmtId="0" fontId="60" fillId="0" borderId="18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58" fillId="0" borderId="0" xfId="0" applyFont="1" applyAlignment="1">
      <alignment/>
    </xf>
    <xf numFmtId="0" fontId="59" fillId="0" borderId="19" xfId="0" applyFont="1" applyBorder="1" applyAlignment="1">
      <alignment/>
    </xf>
    <xf numFmtId="0" fontId="33" fillId="0" borderId="20" xfId="0" applyFont="1" applyBorder="1" applyAlignment="1">
      <alignment/>
    </xf>
    <xf numFmtId="2" fontId="5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59" fillId="0" borderId="20" xfId="0" applyFont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21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top" wrapText="1"/>
    </xf>
    <xf numFmtId="0" fontId="0" fillId="34" borderId="25" xfId="0" applyFill="1" applyBorder="1" applyAlignment="1">
      <alignment/>
    </xf>
    <xf numFmtId="0" fontId="4" fillId="34" borderId="26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vertical="top" wrapText="1"/>
    </xf>
    <xf numFmtId="0" fontId="0" fillId="34" borderId="19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6" xfId="0" applyFill="1" applyBorder="1" applyAlignment="1">
      <alignment/>
    </xf>
    <xf numFmtId="0" fontId="6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34" borderId="20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19" xfId="0" applyFont="1" applyFill="1" applyBorder="1" applyAlignment="1">
      <alignment/>
    </xf>
    <xf numFmtId="0" fontId="64" fillId="0" borderId="25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64" fillId="0" borderId="3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0" fillId="34" borderId="31" xfId="0" applyFont="1" applyFill="1" applyBorder="1" applyAlignment="1">
      <alignment/>
    </xf>
    <xf numFmtId="0" fontId="63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63" fillId="0" borderId="35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63" fillId="0" borderId="19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65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34" borderId="37" xfId="0" applyFill="1" applyBorder="1" applyAlignment="1">
      <alignment/>
    </xf>
    <xf numFmtId="0" fontId="66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34" borderId="0" xfId="0" applyFont="1" applyFill="1" applyAlignment="1">
      <alignment/>
    </xf>
    <xf numFmtId="0" fontId="1" fillId="2" borderId="0" xfId="0" applyFont="1" applyFill="1" applyBorder="1" applyAlignment="1">
      <alignment wrapText="1"/>
    </xf>
    <xf numFmtId="0" fontId="0" fillId="4" borderId="17" xfId="0" applyFill="1" applyBorder="1" applyAlignment="1">
      <alignment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10" fillId="4" borderId="15" xfId="0" applyFont="1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15" xfId="0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1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2" fillId="4" borderId="0" xfId="0" applyFont="1" applyFill="1" applyBorder="1" applyAlignment="1">
      <alignment wrapText="1"/>
    </xf>
    <xf numFmtId="1" fontId="0" fillId="4" borderId="0" xfId="0" applyNumberForma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 wrapText="1"/>
    </xf>
    <xf numFmtId="0" fontId="0" fillId="4" borderId="13" xfId="0" applyFill="1" applyBorder="1" applyAlignment="1">
      <alignment/>
    </xf>
    <xf numFmtId="0" fontId="7" fillId="4" borderId="0" xfId="0" applyFont="1" applyFill="1" applyBorder="1" applyAlignment="1">
      <alignment vertical="center"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" fontId="0" fillId="4" borderId="0" xfId="0" applyNumberForma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1" fontId="0" fillId="2" borderId="0" xfId="0" applyNumberForma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34" borderId="0" xfId="0" applyFill="1" applyBorder="1" applyAlignment="1">
      <alignment wrapText="1"/>
    </xf>
    <xf numFmtId="0" fontId="0" fillId="4" borderId="0" xfId="0" applyFont="1" applyFill="1" applyBorder="1" applyAlignment="1">
      <alignment horizontal="right"/>
    </xf>
    <xf numFmtId="0" fontId="0" fillId="36" borderId="12" xfId="0" applyFill="1" applyBorder="1" applyAlignment="1">
      <alignment/>
    </xf>
    <xf numFmtId="2" fontId="0" fillId="4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2" borderId="38" xfId="0" applyNumberFormat="1" applyFont="1" applyFill="1" applyBorder="1" applyAlignment="1">
      <alignment horizontal="center" vertical="top" wrapText="1"/>
    </xf>
    <xf numFmtId="1" fontId="2" fillId="2" borderId="22" xfId="0" applyNumberFormat="1" applyFont="1" applyFill="1" applyBorder="1" applyAlignment="1">
      <alignment horizontal="center" vertical="top" wrapText="1"/>
    </xf>
    <xf numFmtId="1" fontId="2" fillId="4" borderId="38" xfId="0" applyNumberFormat="1" applyFont="1" applyFill="1" applyBorder="1" applyAlignment="1">
      <alignment horizontal="center" vertical="top" wrapText="1"/>
    </xf>
    <xf numFmtId="1" fontId="2" fillId="4" borderId="22" xfId="0" applyNumberFormat="1" applyFont="1" applyFill="1" applyBorder="1" applyAlignment="1">
      <alignment horizontal="center" vertical="top" wrapText="1"/>
    </xf>
    <xf numFmtId="0" fontId="68" fillId="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26</xdr:row>
      <xdr:rowOff>123825</xdr:rowOff>
    </xdr:from>
    <xdr:to>
      <xdr:col>7</xdr:col>
      <xdr:colOff>38100</xdr:colOff>
      <xdr:row>39</xdr:row>
      <xdr:rowOff>152400</xdr:rowOff>
    </xdr:to>
    <xdr:sp>
      <xdr:nvSpPr>
        <xdr:cNvPr id="1" name="Rectangle 7"/>
        <xdr:cNvSpPr>
          <a:spLocks/>
        </xdr:cNvSpPr>
      </xdr:nvSpPr>
      <xdr:spPr>
        <a:xfrm>
          <a:off x="638175" y="6305550"/>
          <a:ext cx="5391150" cy="2590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200025</xdr:rowOff>
    </xdr:from>
    <xdr:to>
      <xdr:col>5</xdr:col>
      <xdr:colOff>542925</xdr:colOff>
      <xdr:row>5</xdr:row>
      <xdr:rowOff>200025</xdr:rowOff>
    </xdr:to>
    <xdr:sp>
      <xdr:nvSpPr>
        <xdr:cNvPr id="2" name="Line 9"/>
        <xdr:cNvSpPr>
          <a:spLocks/>
        </xdr:cNvSpPr>
      </xdr:nvSpPr>
      <xdr:spPr>
        <a:xfrm>
          <a:off x="4819650" y="1704975"/>
          <a:ext cx="4953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44</xdr:row>
      <xdr:rowOff>123825</xdr:rowOff>
    </xdr:from>
    <xdr:to>
      <xdr:col>9</xdr:col>
      <xdr:colOff>142875</xdr:colOff>
      <xdr:row>44</xdr:row>
      <xdr:rowOff>123825</xdr:rowOff>
    </xdr:to>
    <xdr:sp>
      <xdr:nvSpPr>
        <xdr:cNvPr id="3" name="Line 13"/>
        <xdr:cNvSpPr>
          <a:spLocks/>
        </xdr:cNvSpPr>
      </xdr:nvSpPr>
      <xdr:spPr>
        <a:xfrm flipV="1">
          <a:off x="6505575" y="9744075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25</xdr:row>
      <xdr:rowOff>228600</xdr:rowOff>
    </xdr:from>
    <xdr:to>
      <xdr:col>3</xdr:col>
      <xdr:colOff>695325</xdr:colOff>
      <xdr:row>25</xdr:row>
      <xdr:rowOff>228600</xdr:rowOff>
    </xdr:to>
    <xdr:sp>
      <xdr:nvSpPr>
        <xdr:cNvPr id="4" name="Line 16"/>
        <xdr:cNvSpPr>
          <a:spLocks/>
        </xdr:cNvSpPr>
      </xdr:nvSpPr>
      <xdr:spPr>
        <a:xfrm>
          <a:off x="3609975" y="5924550"/>
          <a:ext cx="55245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29</xdr:row>
      <xdr:rowOff>0</xdr:rowOff>
    </xdr:from>
    <xdr:to>
      <xdr:col>3</xdr:col>
      <xdr:colOff>428625</xdr:colOff>
      <xdr:row>33</xdr:row>
      <xdr:rowOff>152400</xdr:rowOff>
    </xdr:to>
    <xdr:sp>
      <xdr:nvSpPr>
        <xdr:cNvPr id="5" name="AutoShape 17"/>
        <xdr:cNvSpPr>
          <a:spLocks/>
        </xdr:cNvSpPr>
      </xdr:nvSpPr>
      <xdr:spPr>
        <a:xfrm>
          <a:off x="3543300" y="6705600"/>
          <a:ext cx="352425" cy="8763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54</xdr:row>
      <xdr:rowOff>323850</xdr:rowOff>
    </xdr:from>
    <xdr:to>
      <xdr:col>4</xdr:col>
      <xdr:colOff>495300</xdr:colOff>
      <xdr:row>54</xdr:row>
      <xdr:rowOff>323850</xdr:rowOff>
    </xdr:to>
    <xdr:sp>
      <xdr:nvSpPr>
        <xdr:cNvPr id="6" name="Line 19"/>
        <xdr:cNvSpPr>
          <a:spLocks/>
        </xdr:cNvSpPr>
      </xdr:nvSpPr>
      <xdr:spPr>
        <a:xfrm>
          <a:off x="4391025" y="12096750"/>
          <a:ext cx="2667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219075</xdr:colOff>
      <xdr:row>0</xdr:row>
      <xdr:rowOff>0</xdr:rowOff>
    </xdr:from>
    <xdr:to>
      <xdr:col>25</xdr:col>
      <xdr:colOff>257175</xdr:colOff>
      <xdr:row>2</xdr:row>
      <xdr:rowOff>19050</xdr:rowOff>
    </xdr:to>
    <xdr:pic>
      <xdr:nvPicPr>
        <xdr:cNvPr id="7" name="Picture 13" descr="Ausgrid_Logo_FullCol_P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22</xdr:row>
      <xdr:rowOff>133350</xdr:rowOff>
    </xdr:from>
    <xdr:to>
      <xdr:col>25</xdr:col>
      <xdr:colOff>209550</xdr:colOff>
      <xdr:row>40</xdr:row>
      <xdr:rowOff>161925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5305425"/>
          <a:ext cx="41910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3</xdr:row>
      <xdr:rowOff>57150</xdr:rowOff>
    </xdr:from>
    <xdr:to>
      <xdr:col>25</xdr:col>
      <xdr:colOff>152400</xdr:colOff>
      <xdr:row>20</xdr:row>
      <xdr:rowOff>438150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6181725" y="952500"/>
          <a:ext cx="4057650" cy="395287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transformer noise calculator to predict the noise level from a transformer installation and determine if it meets the allowable criteria. If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predicted noise does not meet the allowable criteria, you will need to consider further mitigation measures.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A: Indicate the type of transformer.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B: Indicate the distance to the nearest receiver, type of surface between kiosk and receiver and whether the kiosk is in front of a masonary wall (ie reflection effect towards receiver).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C: Indicate if there is a solid barrier between the transformer and the receiver.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D: If there is a solid barrier, determine the distances in metres using the diagram as a guide. The reduction from the barrier will be calculated.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E: Indicate the type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area the transformer is being installed in to determine the background noise. The total predicted noise and allowable criteria will be calculated.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Sound Power Level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a measure of the acoustic energy emitted from a source (independent of distance).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Sound pressure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what you hear.</a:t>
          </a:r>
        </a:p>
      </xdr:txBody>
    </xdr:sp>
    <xdr:clientData/>
  </xdr:twoCellAnchor>
  <xdr:twoCellAnchor>
    <xdr:from>
      <xdr:col>4</xdr:col>
      <xdr:colOff>38100</xdr:colOff>
      <xdr:row>9</xdr:row>
      <xdr:rowOff>19050</xdr:rowOff>
    </xdr:from>
    <xdr:to>
      <xdr:col>4</xdr:col>
      <xdr:colOff>571500</xdr:colOff>
      <xdr:row>14</xdr:row>
      <xdr:rowOff>114300</xdr:rowOff>
    </xdr:to>
    <xdr:sp>
      <xdr:nvSpPr>
        <xdr:cNvPr id="10" name="Right Brace 1"/>
        <xdr:cNvSpPr>
          <a:spLocks/>
        </xdr:cNvSpPr>
      </xdr:nvSpPr>
      <xdr:spPr>
        <a:xfrm>
          <a:off x="4200525" y="2428875"/>
          <a:ext cx="533400" cy="1057275"/>
        </a:xfrm>
        <a:prstGeom prst="rightBrace">
          <a:avLst>
            <a:gd name="adj1" fmla="val -34888"/>
            <a:gd name="adj2" fmla="val -6365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28</xdr:row>
      <xdr:rowOff>123825</xdr:rowOff>
    </xdr:from>
    <xdr:to>
      <xdr:col>7</xdr:col>
      <xdr:colOff>38100</xdr:colOff>
      <xdr:row>41</xdr:row>
      <xdr:rowOff>152400</xdr:rowOff>
    </xdr:to>
    <xdr:sp>
      <xdr:nvSpPr>
        <xdr:cNvPr id="1" name="Rectangle 7"/>
        <xdr:cNvSpPr>
          <a:spLocks/>
        </xdr:cNvSpPr>
      </xdr:nvSpPr>
      <xdr:spPr>
        <a:xfrm>
          <a:off x="638175" y="6391275"/>
          <a:ext cx="5391150" cy="2590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46</xdr:row>
      <xdr:rowOff>123825</xdr:rowOff>
    </xdr:from>
    <xdr:to>
      <xdr:col>9</xdr:col>
      <xdr:colOff>142875</xdr:colOff>
      <xdr:row>46</xdr:row>
      <xdr:rowOff>123825</xdr:rowOff>
    </xdr:to>
    <xdr:sp>
      <xdr:nvSpPr>
        <xdr:cNvPr id="2" name="Line 13"/>
        <xdr:cNvSpPr>
          <a:spLocks/>
        </xdr:cNvSpPr>
      </xdr:nvSpPr>
      <xdr:spPr>
        <a:xfrm flipV="1">
          <a:off x="6505575" y="9829800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247650</xdr:rowOff>
    </xdr:from>
    <xdr:to>
      <xdr:col>3</xdr:col>
      <xdr:colOff>657225</xdr:colOff>
      <xdr:row>27</xdr:row>
      <xdr:rowOff>247650</xdr:rowOff>
    </xdr:to>
    <xdr:sp>
      <xdr:nvSpPr>
        <xdr:cNvPr id="3" name="Line 16"/>
        <xdr:cNvSpPr>
          <a:spLocks/>
        </xdr:cNvSpPr>
      </xdr:nvSpPr>
      <xdr:spPr>
        <a:xfrm>
          <a:off x="3571875" y="6029325"/>
          <a:ext cx="55245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0</xdr:rowOff>
    </xdr:from>
    <xdr:to>
      <xdr:col>3</xdr:col>
      <xdr:colOff>428625</xdr:colOff>
      <xdr:row>35</xdr:row>
      <xdr:rowOff>152400</xdr:rowOff>
    </xdr:to>
    <xdr:sp>
      <xdr:nvSpPr>
        <xdr:cNvPr id="4" name="AutoShape 17"/>
        <xdr:cNvSpPr>
          <a:spLocks/>
        </xdr:cNvSpPr>
      </xdr:nvSpPr>
      <xdr:spPr>
        <a:xfrm>
          <a:off x="3543300" y="6791325"/>
          <a:ext cx="352425" cy="8763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62</xdr:row>
      <xdr:rowOff>323850</xdr:rowOff>
    </xdr:from>
    <xdr:to>
      <xdr:col>4</xdr:col>
      <xdr:colOff>495300</xdr:colOff>
      <xdr:row>62</xdr:row>
      <xdr:rowOff>323850</xdr:rowOff>
    </xdr:to>
    <xdr:sp>
      <xdr:nvSpPr>
        <xdr:cNvPr id="5" name="Line 19"/>
        <xdr:cNvSpPr>
          <a:spLocks/>
        </xdr:cNvSpPr>
      </xdr:nvSpPr>
      <xdr:spPr>
        <a:xfrm>
          <a:off x="4391025" y="13449300"/>
          <a:ext cx="2667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219075</xdr:colOff>
      <xdr:row>0</xdr:row>
      <xdr:rowOff>0</xdr:rowOff>
    </xdr:from>
    <xdr:to>
      <xdr:col>25</xdr:col>
      <xdr:colOff>247650</xdr:colOff>
      <xdr:row>2</xdr:row>
      <xdr:rowOff>19050</xdr:rowOff>
    </xdr:to>
    <xdr:pic>
      <xdr:nvPicPr>
        <xdr:cNvPr id="6" name="Picture 13" descr="Ausgrid_Logo_FullCol_P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24</xdr:row>
      <xdr:rowOff>28575</xdr:rowOff>
    </xdr:from>
    <xdr:to>
      <xdr:col>26</xdr:col>
      <xdr:colOff>0</xdr:colOff>
      <xdr:row>35</xdr:row>
      <xdr:rowOff>19050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5286375"/>
          <a:ext cx="30384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3</xdr:row>
      <xdr:rowOff>57150</xdr:rowOff>
    </xdr:from>
    <xdr:to>
      <xdr:col>25</xdr:col>
      <xdr:colOff>161925</xdr:colOff>
      <xdr:row>22</xdr:row>
      <xdr:rowOff>247650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467475" y="952500"/>
          <a:ext cx="3810000" cy="409575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generic noise calculator to predict the noise level from a noise source and determine if it meets the allowable criteria. If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predicted noise does not meet the allowable criteria, you will need to consider further mitigation measures.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A: Enter the known sound pressure at a given distance.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B: Indicate the distance to the nearest receiver, type of surface between kiosk and receiver and whether the source is in front of a masonary wall (ie reflection effect towards receiver).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C: Indicate if there is a solid barrier between the transformer and the receiver.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D: If there is a solid barrier, determine the distances in metres using the diagram as a guide. The reduction from the barrier will be calculated.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E: Indicate the type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area the source is being installed in to determine the background noise. The total predicted noise and allowable criteria will be calculated.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F: Select appropriate modifying factor if applicable.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Sound Power Level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a measure of the acoustic energy emitted from a source (independent of distance).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Sound pressure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what you hear.</a:t>
          </a:r>
        </a:p>
      </xdr:txBody>
    </xdr:sp>
    <xdr:clientData/>
  </xdr:twoCellAnchor>
  <xdr:twoCellAnchor>
    <xdr:from>
      <xdr:col>3</xdr:col>
      <xdr:colOff>285750</xdr:colOff>
      <xdr:row>6</xdr:row>
      <xdr:rowOff>133350</xdr:rowOff>
    </xdr:from>
    <xdr:to>
      <xdr:col>4</xdr:col>
      <xdr:colOff>0</xdr:colOff>
      <xdr:row>7</xdr:row>
      <xdr:rowOff>28575</xdr:rowOff>
    </xdr:to>
    <xdr:sp>
      <xdr:nvSpPr>
        <xdr:cNvPr id="9" name="Line 14"/>
        <xdr:cNvSpPr>
          <a:spLocks/>
        </xdr:cNvSpPr>
      </xdr:nvSpPr>
      <xdr:spPr>
        <a:xfrm>
          <a:off x="3752850" y="1752600"/>
          <a:ext cx="409575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7</xdr:row>
      <xdr:rowOff>171450</xdr:rowOff>
    </xdr:from>
    <xdr:to>
      <xdr:col>4</xdr:col>
      <xdr:colOff>19050</xdr:colOff>
      <xdr:row>8</xdr:row>
      <xdr:rowOff>142875</xdr:rowOff>
    </xdr:to>
    <xdr:sp>
      <xdr:nvSpPr>
        <xdr:cNvPr id="10" name="Line 14"/>
        <xdr:cNvSpPr>
          <a:spLocks/>
        </xdr:cNvSpPr>
      </xdr:nvSpPr>
      <xdr:spPr>
        <a:xfrm flipV="1">
          <a:off x="3724275" y="2000250"/>
          <a:ext cx="457200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11</xdr:row>
      <xdr:rowOff>19050</xdr:rowOff>
    </xdr:from>
    <xdr:to>
      <xdr:col>5</xdr:col>
      <xdr:colOff>523875</xdr:colOff>
      <xdr:row>16</xdr:row>
      <xdr:rowOff>123825</xdr:rowOff>
    </xdr:to>
    <xdr:sp>
      <xdr:nvSpPr>
        <xdr:cNvPr id="11" name="Right Brace 14"/>
        <xdr:cNvSpPr>
          <a:spLocks/>
        </xdr:cNvSpPr>
      </xdr:nvSpPr>
      <xdr:spPr>
        <a:xfrm>
          <a:off x="4762500" y="2762250"/>
          <a:ext cx="533400" cy="1066800"/>
        </a:xfrm>
        <a:prstGeom prst="rightBrace">
          <a:avLst>
            <a:gd name="adj1" fmla="val -34888"/>
            <a:gd name="adj2" fmla="val -6365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26</xdr:col>
      <xdr:colOff>504825</xdr:colOff>
      <xdr:row>16</xdr:row>
      <xdr:rowOff>123825</xdr:rowOff>
    </xdr:from>
    <xdr:to>
      <xdr:col>33</xdr:col>
      <xdr:colOff>533400</xdr:colOff>
      <xdr:row>42</xdr:row>
      <xdr:rowOff>28575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3829050"/>
          <a:ext cx="582930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561975</xdr:colOff>
      <xdr:row>41</xdr:row>
      <xdr:rowOff>142875</xdr:rowOff>
    </xdr:from>
    <xdr:to>
      <xdr:col>33</xdr:col>
      <xdr:colOff>571500</xdr:colOff>
      <xdr:row>68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63275" y="8972550"/>
          <a:ext cx="5810250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53</xdr:row>
      <xdr:rowOff>123825</xdr:rowOff>
    </xdr:from>
    <xdr:to>
      <xdr:col>9</xdr:col>
      <xdr:colOff>142875</xdr:colOff>
      <xdr:row>53</xdr:row>
      <xdr:rowOff>123825</xdr:rowOff>
    </xdr:to>
    <xdr:sp>
      <xdr:nvSpPr>
        <xdr:cNvPr id="14" name="Line 13"/>
        <xdr:cNvSpPr>
          <a:spLocks/>
        </xdr:cNvSpPr>
      </xdr:nvSpPr>
      <xdr:spPr>
        <a:xfrm flipV="1">
          <a:off x="6505575" y="11172825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104775</xdr:rowOff>
    </xdr:from>
    <xdr:to>
      <xdr:col>4</xdr:col>
      <xdr:colOff>304800</xdr:colOff>
      <xdr:row>11</xdr:row>
      <xdr:rowOff>104775</xdr:rowOff>
    </xdr:to>
    <xdr:sp>
      <xdr:nvSpPr>
        <xdr:cNvPr id="1" name="Straight Arrow Connector 1"/>
        <xdr:cNvSpPr>
          <a:spLocks/>
        </xdr:cNvSpPr>
      </xdr:nvSpPr>
      <xdr:spPr>
        <a:xfrm>
          <a:off x="295275" y="2009775"/>
          <a:ext cx="2628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7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9.57421875" style="0" customWidth="1"/>
    <col min="2" max="2" width="33.28125" style="1" customWidth="1"/>
    <col min="4" max="4" width="10.421875" style="0" customWidth="1"/>
    <col min="8" max="8" width="3.140625" style="0" customWidth="1"/>
    <col min="10" max="10" width="3.140625" style="0" customWidth="1"/>
    <col min="14" max="14" width="0" style="0" hidden="1" customWidth="1"/>
    <col min="15" max="22" width="3.8515625" style="0" hidden="1" customWidth="1"/>
    <col min="23" max="23" width="4.57421875" style="0" hidden="1" customWidth="1"/>
    <col min="25" max="25" width="9.421875" style="0" customWidth="1"/>
    <col min="26" max="26" width="4.28125" style="0" customWidth="1"/>
    <col min="27" max="55" width="11.140625" style="52" customWidth="1"/>
    <col min="56" max="58" width="11.140625" style="50" customWidth="1"/>
    <col min="59" max="77" width="11.140625" style="0" customWidth="1"/>
    <col min="78" max="80" width="9.140625" style="0" customWidth="1"/>
    <col min="135" max="136" width="8.8515625" style="0" customWidth="1"/>
  </cols>
  <sheetData>
    <row r="1" spans="1:26" ht="12.75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9"/>
      <c r="W1" s="9"/>
      <c r="X1" s="4"/>
      <c r="Y1" s="4"/>
      <c r="Z1" s="27"/>
    </row>
    <row r="2" spans="1:26" ht="42.75" customHeight="1" thickBot="1">
      <c r="A2" s="6" t="s">
        <v>34</v>
      </c>
      <c r="B2" s="7"/>
      <c r="C2" s="8"/>
      <c r="D2" s="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9"/>
      <c r="W2" s="9"/>
      <c r="X2" s="4"/>
      <c r="Y2" s="4"/>
      <c r="Z2" s="27"/>
    </row>
    <row r="3" spans="1:66" ht="15" customHeight="1" thickBot="1">
      <c r="A3" s="35" t="s">
        <v>110</v>
      </c>
      <c r="B3" s="36"/>
      <c r="C3" s="37"/>
      <c r="D3" s="37"/>
      <c r="E3" s="37"/>
      <c r="F3" s="37"/>
      <c r="G3" s="37"/>
      <c r="H3" s="37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BD3" s="52"/>
      <c r="BN3" s="96" t="s">
        <v>85</v>
      </c>
    </row>
    <row r="4" spans="1:66" ht="24" customHeight="1">
      <c r="A4" s="38"/>
      <c r="B4" s="10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3"/>
      <c r="O4" s="13"/>
      <c r="P4" s="13"/>
      <c r="Q4" s="13"/>
      <c r="R4" s="2"/>
      <c r="S4" s="2"/>
      <c r="T4" s="2"/>
      <c r="U4" s="2"/>
      <c r="V4" s="2"/>
      <c r="W4" s="2"/>
      <c r="X4" s="13"/>
      <c r="Y4" s="13"/>
      <c r="Z4" s="13"/>
      <c r="BD4" s="52"/>
      <c r="BF4" s="103" t="s">
        <v>96</v>
      </c>
      <c r="BN4" s="96" t="s">
        <v>85</v>
      </c>
    </row>
    <row r="5" spans="1:66" ht="24" customHeight="1">
      <c r="A5" s="40" t="s">
        <v>21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"/>
      <c r="S5" s="2"/>
      <c r="T5" s="2"/>
      <c r="U5" s="2"/>
      <c r="V5" s="2"/>
      <c r="W5" s="2"/>
      <c r="X5" s="13"/>
      <c r="Y5" s="13"/>
      <c r="Z5" s="13"/>
      <c r="BD5" s="52"/>
      <c r="BF5" s="103" t="s">
        <v>95</v>
      </c>
      <c r="BN5" s="96" t="s">
        <v>85</v>
      </c>
    </row>
    <row r="6" spans="1:66" ht="24" customHeight="1">
      <c r="A6" s="30"/>
      <c r="B6" s="12" t="s">
        <v>9</v>
      </c>
      <c r="C6" s="13"/>
      <c r="D6" s="13"/>
      <c r="E6" s="13"/>
      <c r="F6" s="13"/>
      <c r="G6" s="14" t="s">
        <v>8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2"/>
      <c r="S6" s="2"/>
      <c r="T6" s="2"/>
      <c r="U6" s="2"/>
      <c r="V6" s="2"/>
      <c r="W6" s="2"/>
      <c r="X6" s="13"/>
      <c r="Y6" s="13"/>
      <c r="Z6" s="13"/>
      <c r="BD6" s="52"/>
      <c r="BN6" s="96" t="s">
        <v>85</v>
      </c>
    </row>
    <row r="7" spans="1:66" ht="8.25" customHeight="1">
      <c r="A7" s="30"/>
      <c r="B7" s="42"/>
      <c r="C7" s="13"/>
      <c r="D7" s="13"/>
      <c r="E7" s="13"/>
      <c r="F7" s="13"/>
      <c r="G7" s="43"/>
      <c r="H7" s="13"/>
      <c r="I7" s="13"/>
      <c r="J7" s="13"/>
      <c r="K7" s="13"/>
      <c r="L7" s="13"/>
      <c r="M7" s="13"/>
      <c r="N7" s="13"/>
      <c r="O7" s="13"/>
      <c r="P7" s="13"/>
      <c r="Q7" s="13"/>
      <c r="R7" s="2"/>
      <c r="S7" s="2"/>
      <c r="T7" s="2"/>
      <c r="U7" s="2"/>
      <c r="V7" s="2"/>
      <c r="W7" s="2"/>
      <c r="X7" s="13"/>
      <c r="Y7" s="13"/>
      <c r="Z7" s="13"/>
      <c r="BD7" s="52"/>
      <c r="BF7" s="69" t="s">
        <v>74</v>
      </c>
      <c r="BN7" s="96" t="s">
        <v>85</v>
      </c>
    </row>
    <row r="8" spans="1:66" ht="24" customHeight="1">
      <c r="A8" s="30"/>
      <c r="B8" s="12" t="s">
        <v>39</v>
      </c>
      <c r="C8" s="13">
        <f>VLOOKUP(BP12,BE8:BK37,7)</f>
        <v>68</v>
      </c>
      <c r="D8" s="13" t="s">
        <v>12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"/>
      <c r="S8" s="2"/>
      <c r="T8" s="2"/>
      <c r="U8" s="2"/>
      <c r="V8" s="2"/>
      <c r="W8" s="2"/>
      <c r="X8" s="13"/>
      <c r="Y8" s="13"/>
      <c r="Z8" s="13"/>
      <c r="BD8" s="52"/>
      <c r="BE8" s="50">
        <v>1</v>
      </c>
      <c r="BF8" s="70" t="s">
        <v>75</v>
      </c>
      <c r="BG8" s="74" t="s">
        <v>63</v>
      </c>
      <c r="BH8" s="75" t="s">
        <v>64</v>
      </c>
      <c r="BI8" s="75">
        <v>750</v>
      </c>
      <c r="BJ8" s="75" t="str">
        <f aca="true" t="shared" si="0" ref="BJ8:BJ35">CONCATENATE(BG8," ",BH8," ",BI8," kVA")</f>
        <v>ETEL E kiosk  750 kVA</v>
      </c>
      <c r="BK8" s="76">
        <v>60</v>
      </c>
      <c r="BL8" s="76">
        <v>57</v>
      </c>
      <c r="BN8" s="96" t="s">
        <v>86</v>
      </c>
    </row>
    <row r="9" spans="1:66" ht="15" thickBot="1">
      <c r="A9" s="30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2"/>
      <c r="S9" s="2"/>
      <c r="T9" s="2"/>
      <c r="U9" s="2"/>
      <c r="V9" s="2"/>
      <c r="W9" s="2"/>
      <c r="X9" s="13"/>
      <c r="Y9" s="13"/>
      <c r="Z9" s="13"/>
      <c r="BD9" s="52"/>
      <c r="BE9" s="50">
        <v>2</v>
      </c>
      <c r="BF9" s="59"/>
      <c r="BG9" s="74" t="s">
        <v>63</v>
      </c>
      <c r="BH9" s="75" t="s">
        <v>33</v>
      </c>
      <c r="BI9" s="75">
        <v>1500</v>
      </c>
      <c r="BJ9" s="75" t="str">
        <f t="shared" si="0"/>
        <v>ETEL City/Suburban Chamber 1500 kVA</v>
      </c>
      <c r="BK9" s="76">
        <v>68</v>
      </c>
      <c r="BL9" s="76">
        <v>58</v>
      </c>
      <c r="BN9" s="96" t="s">
        <v>86</v>
      </c>
    </row>
    <row r="10" spans="1:66" ht="15" customHeight="1" thickBot="1">
      <c r="A10" s="30"/>
      <c r="B10" s="12" t="s">
        <v>31</v>
      </c>
      <c r="C10" s="22">
        <v>1</v>
      </c>
      <c r="D10" s="97" t="s">
        <v>44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"/>
      <c r="S10" s="2"/>
      <c r="T10" s="2"/>
      <c r="U10" s="2"/>
      <c r="V10" s="2"/>
      <c r="W10" s="2"/>
      <c r="X10" s="13"/>
      <c r="Y10" s="13"/>
      <c r="Z10" s="13"/>
      <c r="BD10" s="52"/>
      <c r="BE10" s="50">
        <v>3</v>
      </c>
      <c r="BF10" s="98"/>
      <c r="BG10" s="74" t="s">
        <v>63</v>
      </c>
      <c r="BH10" s="75" t="s">
        <v>33</v>
      </c>
      <c r="BI10" s="75">
        <v>1000</v>
      </c>
      <c r="BJ10" s="75" t="str">
        <f t="shared" si="0"/>
        <v>ETEL City/Suburban Chamber 1000 kVA</v>
      </c>
      <c r="BK10" s="76">
        <v>66</v>
      </c>
      <c r="BL10" s="76">
        <v>59</v>
      </c>
      <c r="BN10" s="96" t="s">
        <v>86</v>
      </c>
    </row>
    <row r="11" spans="1:64" ht="12" customHeight="1" thickBot="1">
      <c r="A11" s="30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"/>
      <c r="S11" s="2"/>
      <c r="T11" s="2"/>
      <c r="U11" s="2"/>
      <c r="V11" s="2"/>
      <c r="W11" s="2"/>
      <c r="X11" s="13"/>
      <c r="Y11" s="13"/>
      <c r="Z11" s="13"/>
      <c r="BD11" s="52"/>
      <c r="BE11" s="50">
        <v>4</v>
      </c>
      <c r="BF11" s="71"/>
      <c r="BG11" s="74" t="s">
        <v>63</v>
      </c>
      <c r="BH11" s="75" t="s">
        <v>33</v>
      </c>
      <c r="BI11" s="75">
        <v>750</v>
      </c>
      <c r="BJ11" s="75" t="str">
        <f t="shared" si="0"/>
        <v>ETEL City/Suburban Chamber 750 kVA</v>
      </c>
      <c r="BK11" s="76">
        <v>65</v>
      </c>
      <c r="BL11" s="76">
        <v>55</v>
      </c>
    </row>
    <row r="12" spans="1:68" ht="18.75" customHeight="1" thickBot="1">
      <c r="A12" s="30"/>
      <c r="B12" s="41" t="s">
        <v>88</v>
      </c>
      <c r="C12" s="13"/>
      <c r="D12" s="13"/>
      <c r="E12" s="13"/>
      <c r="F12" s="14" t="s">
        <v>20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"/>
      <c r="S12" s="2"/>
      <c r="T12" s="2"/>
      <c r="U12" s="2"/>
      <c r="V12" s="2"/>
      <c r="W12" s="2"/>
      <c r="X12" s="13"/>
      <c r="Y12" s="13"/>
      <c r="Z12" s="13"/>
      <c r="BD12" s="52"/>
      <c r="BE12" s="50">
        <v>5</v>
      </c>
      <c r="BF12" s="84" t="s">
        <v>82</v>
      </c>
      <c r="BG12" s="85" t="s">
        <v>72</v>
      </c>
      <c r="BH12" s="85" t="s">
        <v>33</v>
      </c>
      <c r="BI12" s="85">
        <v>1500</v>
      </c>
      <c r="BJ12" s="86" t="str">
        <f t="shared" si="0"/>
        <v>Schneider City/Suburban Chamber 1500 kVA</v>
      </c>
      <c r="BK12" s="86">
        <v>68</v>
      </c>
      <c r="BL12" s="79">
        <v>56.5</v>
      </c>
      <c r="BN12" s="96" t="s">
        <v>91</v>
      </c>
      <c r="BP12" s="99">
        <v>2</v>
      </c>
    </row>
    <row r="13" spans="1:69" ht="12" customHeight="1" thickBot="1">
      <c r="A13" s="30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"/>
      <c r="S13" s="2"/>
      <c r="T13" s="2"/>
      <c r="U13" s="2"/>
      <c r="V13" s="2"/>
      <c r="W13" s="2"/>
      <c r="X13" s="13"/>
      <c r="Y13" s="13"/>
      <c r="Z13" s="13"/>
      <c r="BD13" s="52"/>
      <c r="BE13" s="50">
        <v>6</v>
      </c>
      <c r="BF13" s="87"/>
      <c r="BG13" s="65" t="s">
        <v>72</v>
      </c>
      <c r="BH13" s="65" t="s">
        <v>33</v>
      </c>
      <c r="BI13" s="65">
        <v>1000</v>
      </c>
      <c r="BJ13" s="77" t="str">
        <f t="shared" si="0"/>
        <v>Schneider City/Suburban Chamber 1000 kVA</v>
      </c>
      <c r="BK13" s="77">
        <v>66</v>
      </c>
      <c r="BL13" s="80">
        <v>65.3</v>
      </c>
      <c r="BN13" s="101" t="s">
        <v>92</v>
      </c>
      <c r="BP13" s="99">
        <v>2</v>
      </c>
      <c r="BQ13" s="100" t="s">
        <v>89</v>
      </c>
    </row>
    <row r="14" spans="1:69" ht="18" customHeight="1" thickBot="1">
      <c r="A14" s="30"/>
      <c r="B14" s="41" t="s">
        <v>94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"/>
      <c r="S14" s="2"/>
      <c r="T14" s="2"/>
      <c r="U14" s="2"/>
      <c r="V14" s="2"/>
      <c r="W14" s="2"/>
      <c r="X14" s="13"/>
      <c r="Y14" s="13"/>
      <c r="Z14" s="13"/>
      <c r="BD14" s="52"/>
      <c r="BE14" s="50">
        <v>7</v>
      </c>
      <c r="BF14" s="87"/>
      <c r="BG14" s="65" t="s">
        <v>72</v>
      </c>
      <c r="BH14" s="65" t="s">
        <v>83</v>
      </c>
      <c r="BI14" s="65">
        <v>1000</v>
      </c>
      <c r="BJ14" s="77" t="str">
        <f t="shared" si="0"/>
        <v>Schneider City/Suburban Chamber Dual Voltage 1000 kVA</v>
      </c>
      <c r="BK14" s="77">
        <v>65</v>
      </c>
      <c r="BL14" s="81">
        <v>63</v>
      </c>
      <c r="BN14" s="101" t="s">
        <v>93</v>
      </c>
      <c r="BP14" s="99">
        <v>2</v>
      </c>
      <c r="BQ14" s="100" t="s">
        <v>90</v>
      </c>
    </row>
    <row r="15" spans="1:69" ht="12" customHeight="1" thickBot="1">
      <c r="A15" s="30"/>
      <c r="B15" s="104" t="s">
        <v>97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"/>
      <c r="S15" s="2"/>
      <c r="T15" s="2"/>
      <c r="U15" s="2"/>
      <c r="V15" s="2"/>
      <c r="W15" s="2"/>
      <c r="X15" s="13"/>
      <c r="Y15" s="13"/>
      <c r="Z15" s="13"/>
      <c r="BD15" s="52"/>
      <c r="BE15" s="50">
        <v>8</v>
      </c>
      <c r="BF15" s="88"/>
      <c r="BG15" s="89" t="s">
        <v>32</v>
      </c>
      <c r="BH15" s="89" t="s">
        <v>33</v>
      </c>
      <c r="BI15" s="89">
        <v>750</v>
      </c>
      <c r="BJ15" s="90" t="str">
        <f t="shared" si="0"/>
        <v>Wilson City/Suburban Chamber 750 kVA</v>
      </c>
      <c r="BK15" s="90">
        <v>65</v>
      </c>
      <c r="BL15" s="91">
        <v>45</v>
      </c>
      <c r="BN15" s="101"/>
      <c r="BQ15" s="100" t="s">
        <v>23</v>
      </c>
    </row>
    <row r="16" spans="1:69" ht="5.25" customHeight="1">
      <c r="A16" s="30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"/>
      <c r="S16" s="2"/>
      <c r="T16" s="2"/>
      <c r="U16" s="2"/>
      <c r="V16" s="2"/>
      <c r="W16" s="2"/>
      <c r="X16" s="13"/>
      <c r="Y16" s="13"/>
      <c r="Z16" s="13"/>
      <c r="BD16" s="52"/>
      <c r="BE16" s="50">
        <v>9</v>
      </c>
      <c r="BF16" s="92" t="s">
        <v>77</v>
      </c>
      <c r="BG16" s="93" t="s">
        <v>32</v>
      </c>
      <c r="BH16" s="93" t="s">
        <v>68</v>
      </c>
      <c r="BI16" s="93">
        <v>1000</v>
      </c>
      <c r="BJ16" s="77" t="str">
        <f t="shared" si="0"/>
        <v>Wilson Vault/CBD Underground 1000 kVA</v>
      </c>
      <c r="BK16" s="77">
        <v>58</v>
      </c>
      <c r="BL16" s="78">
        <v>52.4</v>
      </c>
      <c r="BN16" s="101"/>
      <c r="BQ16" s="102" t="s">
        <v>24</v>
      </c>
    </row>
    <row r="17" spans="1:64" ht="5.25" customHeight="1">
      <c r="A17" s="30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"/>
      <c r="S17" s="2"/>
      <c r="T17" s="2"/>
      <c r="U17" s="2"/>
      <c r="V17" s="2"/>
      <c r="W17" s="2"/>
      <c r="X17" s="13"/>
      <c r="Y17" s="13"/>
      <c r="Z17" s="13"/>
      <c r="BD17" s="52"/>
      <c r="BE17" s="50">
        <v>10</v>
      </c>
      <c r="BF17" s="94"/>
      <c r="BG17" s="93" t="s">
        <v>32</v>
      </c>
      <c r="BH17" s="93" t="s">
        <v>68</v>
      </c>
      <c r="BI17" s="93">
        <v>750</v>
      </c>
      <c r="BJ17" s="77" t="str">
        <f t="shared" si="0"/>
        <v>Wilson Vault/CBD Underground 750 kVA</v>
      </c>
      <c r="BK17" s="77">
        <v>56</v>
      </c>
      <c r="BL17" s="78">
        <v>53</v>
      </c>
    </row>
    <row r="18" spans="1:64" ht="24" customHeight="1" thickBot="1">
      <c r="A18" s="30"/>
      <c r="B18" s="131" t="s">
        <v>104</v>
      </c>
      <c r="C18" s="23">
        <f>-20*LOG10(C10)-8+IF(BP13=1,-3,0)+IF(BP14=1,3,0)</f>
        <v>-8</v>
      </c>
      <c r="D18" s="16" t="s">
        <v>12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"/>
      <c r="S18" s="2"/>
      <c r="T18" s="2"/>
      <c r="U18" s="2"/>
      <c r="V18" s="2"/>
      <c r="W18" s="2"/>
      <c r="X18" s="13"/>
      <c r="Y18" s="13"/>
      <c r="Z18" s="13"/>
      <c r="BD18" s="52"/>
      <c r="BE18" s="50">
        <v>11</v>
      </c>
      <c r="BF18" s="72" t="s">
        <v>76</v>
      </c>
      <c r="BG18" s="65" t="s">
        <v>65</v>
      </c>
      <c r="BH18" s="65" t="s">
        <v>66</v>
      </c>
      <c r="BI18" s="65">
        <v>400</v>
      </c>
      <c r="BJ18" s="66" t="str">
        <f t="shared" si="0"/>
        <v>Tyree Pole Top 3ph 400 kVA</v>
      </c>
      <c r="BK18" s="66">
        <v>56</v>
      </c>
      <c r="BL18" s="68">
        <v>52</v>
      </c>
    </row>
    <row r="19" spans="1:64" ht="12.75" customHeight="1">
      <c r="A19" s="30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"/>
      <c r="S19" s="2"/>
      <c r="T19" s="2"/>
      <c r="U19" s="2"/>
      <c r="V19" s="2"/>
      <c r="W19" s="2"/>
      <c r="X19" s="13"/>
      <c r="Y19" s="13"/>
      <c r="Z19" s="13"/>
      <c r="BD19" s="52"/>
      <c r="BE19" s="50">
        <v>12</v>
      </c>
      <c r="BF19" s="62"/>
      <c r="BG19" s="67" t="s">
        <v>65</v>
      </c>
      <c r="BH19" s="67" t="s">
        <v>66</v>
      </c>
      <c r="BI19" s="67">
        <v>200</v>
      </c>
      <c r="BJ19" s="82" t="str">
        <f t="shared" si="0"/>
        <v>Tyree Pole Top 3ph 200 kVA</v>
      </c>
      <c r="BK19" s="82">
        <v>56</v>
      </c>
      <c r="BL19" s="83">
        <v>55</v>
      </c>
    </row>
    <row r="20" spans="1:64" ht="27" customHeight="1">
      <c r="A20" s="30"/>
      <c r="B20" s="17" t="s">
        <v>105</v>
      </c>
      <c r="C20" s="135">
        <f>C8+C18</f>
        <v>60</v>
      </c>
      <c r="D20" s="136" t="s">
        <v>40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"/>
      <c r="S20" s="2"/>
      <c r="T20" s="2"/>
      <c r="U20" s="2"/>
      <c r="V20" s="2"/>
      <c r="W20" s="2"/>
      <c r="X20" s="13"/>
      <c r="Y20" s="13"/>
      <c r="Z20" s="13"/>
      <c r="BD20" s="52"/>
      <c r="BE20" s="50">
        <v>13</v>
      </c>
      <c r="BF20" s="62"/>
      <c r="BG20" s="65" t="s">
        <v>65</v>
      </c>
      <c r="BH20" s="65" t="s">
        <v>66</v>
      </c>
      <c r="BI20" s="65">
        <v>100</v>
      </c>
      <c r="BJ20" s="66" t="str">
        <f t="shared" si="0"/>
        <v>Tyree Pole Top 3ph 100 kVA</v>
      </c>
      <c r="BK20" s="66">
        <v>56</v>
      </c>
      <c r="BL20" s="68">
        <v>51.4</v>
      </c>
    </row>
    <row r="21" spans="1:64" ht="42" customHeight="1" thickBot="1">
      <c r="A21" s="3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3"/>
      <c r="S21" s="3"/>
      <c r="T21" s="3"/>
      <c r="U21" s="3"/>
      <c r="V21" s="3"/>
      <c r="W21" s="3"/>
      <c r="X21" s="16"/>
      <c r="Y21" s="16"/>
      <c r="Z21" s="16"/>
      <c r="BD21" s="52"/>
      <c r="BE21" s="50">
        <v>14</v>
      </c>
      <c r="BF21" s="62"/>
      <c r="BG21" s="65" t="s">
        <v>65</v>
      </c>
      <c r="BH21" s="65" t="s">
        <v>66</v>
      </c>
      <c r="BI21" s="65">
        <v>63</v>
      </c>
      <c r="BJ21" s="66" t="str">
        <f t="shared" si="0"/>
        <v>Tyree Pole Top 3ph 63 kVA</v>
      </c>
      <c r="BK21" s="66">
        <v>56</v>
      </c>
      <c r="BL21" s="68">
        <v>49.5</v>
      </c>
    </row>
    <row r="22" spans="1:64" ht="13.5" thickBo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BE22" s="50">
        <v>15</v>
      </c>
      <c r="BF22" s="62"/>
      <c r="BG22" s="65" t="s">
        <v>65</v>
      </c>
      <c r="BH22" s="65" t="s">
        <v>66</v>
      </c>
      <c r="BI22" s="65">
        <v>25</v>
      </c>
      <c r="BJ22" s="66" t="str">
        <f t="shared" si="0"/>
        <v>Tyree Pole Top 3ph 25 kVA</v>
      </c>
      <c r="BK22" s="66">
        <v>56</v>
      </c>
      <c r="BL22" s="68">
        <v>50</v>
      </c>
    </row>
    <row r="23" spans="1:64" ht="12.75">
      <c r="A23" s="28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>
        <v>6</v>
      </c>
      <c r="O23" s="26">
        <v>0</v>
      </c>
      <c r="P23" s="26">
        <v>10</v>
      </c>
      <c r="Q23" s="26">
        <v>12</v>
      </c>
      <c r="R23" s="29">
        <v>14</v>
      </c>
      <c r="S23" s="29">
        <v>15</v>
      </c>
      <c r="T23" s="29">
        <v>16</v>
      </c>
      <c r="U23" s="29">
        <v>16</v>
      </c>
      <c r="V23" s="29">
        <v>16</v>
      </c>
      <c r="W23" s="29">
        <v>16</v>
      </c>
      <c r="X23" s="26"/>
      <c r="Y23" s="26"/>
      <c r="Z23" s="26"/>
      <c r="BD23" s="52"/>
      <c r="BE23" s="50">
        <v>16</v>
      </c>
      <c r="BF23" s="62"/>
      <c r="BG23" s="65" t="s">
        <v>65</v>
      </c>
      <c r="BH23" s="65" t="s">
        <v>67</v>
      </c>
      <c r="BI23" s="65">
        <v>63</v>
      </c>
      <c r="BJ23" s="66" t="str">
        <f t="shared" si="0"/>
        <v>Tyree Pole Top 1ph 63 kVA</v>
      </c>
      <c r="BK23" s="66">
        <v>56</v>
      </c>
      <c r="BL23" s="68">
        <v>52</v>
      </c>
    </row>
    <row r="24" spans="1:64" ht="15.75">
      <c r="A24" s="40" t="s">
        <v>22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v>7</v>
      </c>
      <c r="O24" s="13">
        <v>0</v>
      </c>
      <c r="P24" s="13">
        <v>10</v>
      </c>
      <c r="Q24" s="13">
        <v>12</v>
      </c>
      <c r="R24" s="2">
        <v>14</v>
      </c>
      <c r="S24" s="2">
        <v>15</v>
      </c>
      <c r="T24" s="2">
        <v>16</v>
      </c>
      <c r="U24" s="2">
        <v>16</v>
      </c>
      <c r="V24" s="2">
        <v>16</v>
      </c>
      <c r="W24" s="2">
        <v>16</v>
      </c>
      <c r="X24" s="13"/>
      <c r="Y24" s="13"/>
      <c r="Z24" s="13"/>
      <c r="BD24" s="52"/>
      <c r="BE24" s="50">
        <v>17</v>
      </c>
      <c r="BF24" s="62"/>
      <c r="BG24" s="65" t="s">
        <v>65</v>
      </c>
      <c r="BH24" s="65" t="s">
        <v>67</v>
      </c>
      <c r="BI24" s="65">
        <v>25</v>
      </c>
      <c r="BJ24" s="66" t="str">
        <f t="shared" si="0"/>
        <v>Tyree Pole Top 1ph 25 kVA</v>
      </c>
      <c r="BK24" s="66">
        <v>56</v>
      </c>
      <c r="BL24" s="68">
        <v>44</v>
      </c>
    </row>
    <row r="25" spans="1:64" ht="12.75">
      <c r="A25" s="30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8</v>
      </c>
      <c r="O25" s="13">
        <v>0</v>
      </c>
      <c r="P25" s="13">
        <v>10</v>
      </c>
      <c r="Q25" s="13">
        <v>12</v>
      </c>
      <c r="R25" s="2">
        <v>14</v>
      </c>
      <c r="S25" s="2">
        <v>15</v>
      </c>
      <c r="T25" s="2">
        <v>16</v>
      </c>
      <c r="U25" s="2">
        <v>16</v>
      </c>
      <c r="V25" s="2">
        <v>16</v>
      </c>
      <c r="W25" s="2">
        <v>16</v>
      </c>
      <c r="X25" s="13"/>
      <c r="Y25" s="13"/>
      <c r="Z25" s="13"/>
      <c r="BD25" s="52"/>
      <c r="BE25" s="50">
        <v>18</v>
      </c>
      <c r="BF25" s="62"/>
      <c r="BG25" s="65" t="s">
        <v>65</v>
      </c>
      <c r="BH25" s="65" t="s">
        <v>67</v>
      </c>
      <c r="BI25" s="65">
        <v>16</v>
      </c>
      <c r="BJ25" s="66" t="str">
        <f t="shared" si="0"/>
        <v>Tyree Pole Top 1ph 16 kVA</v>
      </c>
      <c r="BK25" s="66">
        <v>56</v>
      </c>
      <c r="BL25" s="68">
        <v>45</v>
      </c>
    </row>
    <row r="26" spans="1:64" ht="38.25">
      <c r="A26" s="30"/>
      <c r="B26" s="41" t="s">
        <v>36</v>
      </c>
      <c r="C26" s="13"/>
      <c r="D26" s="13"/>
      <c r="E26" s="19" t="s">
        <v>25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"/>
      <c r="S26" s="2"/>
      <c r="T26" s="2"/>
      <c r="U26" s="2"/>
      <c r="V26" s="2"/>
      <c r="W26" s="2"/>
      <c r="X26" s="13"/>
      <c r="Y26" s="13"/>
      <c r="Z26" s="13"/>
      <c r="BD26" s="52"/>
      <c r="BE26" s="50">
        <v>19</v>
      </c>
      <c r="BF26" s="72" t="s">
        <v>78</v>
      </c>
      <c r="BG26" s="65" t="s">
        <v>69</v>
      </c>
      <c r="BH26" s="65" t="s">
        <v>70</v>
      </c>
      <c r="BI26" s="65">
        <v>1500</v>
      </c>
      <c r="BJ26" s="66" t="str">
        <f t="shared" si="0"/>
        <v>ABB Hitachi Dry type  1500 kVA</v>
      </c>
      <c r="BK26" s="65">
        <v>68</v>
      </c>
      <c r="BL26" s="68">
        <v>65</v>
      </c>
    </row>
    <row r="27" spans="1:64" ht="12.75">
      <c r="A27" s="30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"/>
      <c r="S27" s="2"/>
      <c r="T27" s="2"/>
      <c r="U27" s="2"/>
      <c r="V27" s="2"/>
      <c r="W27" s="2"/>
      <c r="X27" s="13"/>
      <c r="Y27" s="13"/>
      <c r="Z27" s="13"/>
      <c r="BD27" s="52"/>
      <c r="BE27" s="50">
        <v>20</v>
      </c>
      <c r="BF27" s="70" t="s">
        <v>79</v>
      </c>
      <c r="BG27" s="66" t="s">
        <v>65</v>
      </c>
      <c r="BH27" s="66" t="s">
        <v>71</v>
      </c>
      <c r="BI27" s="66">
        <v>1000</v>
      </c>
      <c r="BJ27" s="66" t="str">
        <f t="shared" si="0"/>
        <v>Tyree L kiosk 1000 kVA</v>
      </c>
      <c r="BK27" s="66">
        <v>62</v>
      </c>
      <c r="BL27" s="68">
        <v>61.8</v>
      </c>
    </row>
    <row r="28" spans="1:64" ht="14.25" customHeight="1">
      <c r="A28" s="30"/>
      <c r="B28" s="20" t="s">
        <v>37</v>
      </c>
      <c r="C28" s="20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"/>
      <c r="S28" s="2"/>
      <c r="T28" s="2"/>
      <c r="U28" s="2"/>
      <c r="V28" s="2"/>
      <c r="W28" s="2"/>
      <c r="X28" s="13"/>
      <c r="Y28" s="13"/>
      <c r="Z28" s="13"/>
      <c r="BD28" s="52"/>
      <c r="BE28" s="50">
        <v>21</v>
      </c>
      <c r="BF28" s="59"/>
      <c r="BG28" s="66" t="s">
        <v>65</v>
      </c>
      <c r="BH28" s="66" t="s">
        <v>71</v>
      </c>
      <c r="BI28" s="66">
        <v>800</v>
      </c>
      <c r="BJ28" s="66" t="str">
        <f t="shared" si="0"/>
        <v>Tyree L kiosk 800 kVA</v>
      </c>
      <c r="BK28" s="66">
        <v>60</v>
      </c>
      <c r="BL28" s="68">
        <v>52</v>
      </c>
    </row>
    <row r="29" spans="1:64" ht="14.25" customHeight="1" thickBot="1">
      <c r="A29" s="30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"/>
      <c r="S29" s="2"/>
      <c r="T29" s="2"/>
      <c r="U29" s="2"/>
      <c r="V29" s="2"/>
      <c r="W29" s="2"/>
      <c r="X29" s="13"/>
      <c r="Y29" s="13"/>
      <c r="Z29" s="13"/>
      <c r="BD29" s="52"/>
      <c r="BE29" s="50">
        <v>22</v>
      </c>
      <c r="BF29" s="59"/>
      <c r="BG29" s="66" t="s">
        <v>65</v>
      </c>
      <c r="BH29" s="66" t="s">
        <v>71</v>
      </c>
      <c r="BI29" s="66">
        <v>600</v>
      </c>
      <c r="BJ29" s="66" t="str">
        <f t="shared" si="0"/>
        <v>Tyree L kiosk 600 kVA</v>
      </c>
      <c r="BK29" s="66">
        <v>59</v>
      </c>
      <c r="BL29" s="68">
        <v>58.4</v>
      </c>
    </row>
    <row r="30" spans="1:64" ht="14.25" customHeight="1" thickBot="1">
      <c r="A30" s="30"/>
      <c r="B30" s="12" t="s">
        <v>0</v>
      </c>
      <c r="C30" s="122">
        <v>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"/>
      <c r="S30" s="2"/>
      <c r="T30" s="2"/>
      <c r="U30" s="2"/>
      <c r="V30" s="2"/>
      <c r="W30" s="2"/>
      <c r="X30" s="13"/>
      <c r="Y30" s="13"/>
      <c r="Z30" s="13"/>
      <c r="BD30" s="52"/>
      <c r="BE30" s="50">
        <v>23</v>
      </c>
      <c r="BF30" s="71"/>
      <c r="BG30" s="66" t="s">
        <v>65</v>
      </c>
      <c r="BH30" s="66" t="s">
        <v>71</v>
      </c>
      <c r="BI30" s="66">
        <v>400</v>
      </c>
      <c r="BJ30" s="66" t="str">
        <f t="shared" si="0"/>
        <v>Tyree L kiosk 400 kVA</v>
      </c>
      <c r="BK30" s="66">
        <v>57</v>
      </c>
      <c r="BL30" s="68">
        <v>56.7</v>
      </c>
    </row>
    <row r="31" spans="1:64" ht="14.25" customHeight="1" thickBot="1">
      <c r="A31" s="30"/>
      <c r="B31" s="12" t="s">
        <v>1</v>
      </c>
      <c r="C31" s="122">
        <v>6.7</v>
      </c>
      <c r="D31" s="13"/>
      <c r="E31" s="19" t="s">
        <v>26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"/>
      <c r="S31" s="2"/>
      <c r="T31" s="2"/>
      <c r="U31" s="2"/>
      <c r="V31" s="2"/>
      <c r="W31" s="2"/>
      <c r="X31" s="13"/>
      <c r="Y31" s="13"/>
      <c r="Z31" s="13"/>
      <c r="BD31" s="52"/>
      <c r="BE31" s="50">
        <v>24</v>
      </c>
      <c r="BF31" s="70" t="s">
        <v>80</v>
      </c>
      <c r="BG31" s="66" t="s">
        <v>72</v>
      </c>
      <c r="BH31" s="66" t="s">
        <v>73</v>
      </c>
      <c r="BI31" s="66">
        <v>1500</v>
      </c>
      <c r="BJ31" s="66" t="str">
        <f t="shared" si="0"/>
        <v>Schneider K kiosk 1500 kVA</v>
      </c>
      <c r="BK31" s="66">
        <v>65</v>
      </c>
      <c r="BL31" s="68">
        <v>64.6</v>
      </c>
    </row>
    <row r="32" spans="1:64" ht="14.25" customHeight="1" thickBot="1">
      <c r="A32" s="30"/>
      <c r="B32" s="12" t="s">
        <v>2</v>
      </c>
      <c r="C32" s="122">
        <v>9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"/>
      <c r="S32" s="2"/>
      <c r="T32" s="2"/>
      <c r="U32" s="2"/>
      <c r="V32" s="2"/>
      <c r="W32" s="2"/>
      <c r="X32" s="13"/>
      <c r="Y32" s="13"/>
      <c r="Z32" s="13"/>
      <c r="BD32" s="52"/>
      <c r="BE32" s="50">
        <v>25</v>
      </c>
      <c r="BF32" s="59"/>
      <c r="BG32" s="66" t="s">
        <v>72</v>
      </c>
      <c r="BH32" s="66" t="s">
        <v>71</v>
      </c>
      <c r="BI32" s="66">
        <v>1000</v>
      </c>
      <c r="BJ32" s="66" t="str">
        <f t="shared" si="0"/>
        <v>Schneider L kiosk 1000 kVA</v>
      </c>
      <c r="BK32" s="66">
        <v>62</v>
      </c>
      <c r="BL32" s="68">
        <v>59.3</v>
      </c>
    </row>
    <row r="33" spans="1:64" ht="14.25" customHeight="1" thickBot="1">
      <c r="A33" s="30"/>
      <c r="B33" s="12" t="s">
        <v>3</v>
      </c>
      <c r="C33" s="122">
        <v>3.9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"/>
      <c r="S33" s="2"/>
      <c r="T33" s="2"/>
      <c r="U33" s="2"/>
      <c r="V33" s="2"/>
      <c r="W33" s="2"/>
      <c r="X33" s="13"/>
      <c r="Y33" s="13"/>
      <c r="Z33" s="13"/>
      <c r="BD33" s="52"/>
      <c r="BE33" s="50">
        <v>26</v>
      </c>
      <c r="BF33" s="59"/>
      <c r="BG33" s="66" t="s">
        <v>72</v>
      </c>
      <c r="BH33" s="66" t="s">
        <v>71</v>
      </c>
      <c r="BI33" s="66">
        <v>800</v>
      </c>
      <c r="BJ33" s="66" t="str">
        <f t="shared" si="0"/>
        <v>Schneider L kiosk 800 kVA</v>
      </c>
      <c r="BK33" s="66">
        <v>60</v>
      </c>
      <c r="BL33" s="68">
        <v>50</v>
      </c>
    </row>
    <row r="34" spans="1:64" ht="14.25" customHeight="1" thickBot="1">
      <c r="A34" s="30"/>
      <c r="B34" s="12" t="s">
        <v>4</v>
      </c>
      <c r="C34" s="122">
        <v>6.5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"/>
      <c r="S34" s="2"/>
      <c r="T34" s="2"/>
      <c r="U34" s="2"/>
      <c r="V34" s="2"/>
      <c r="W34" s="2"/>
      <c r="X34" s="13"/>
      <c r="Y34" s="13"/>
      <c r="Z34" s="13"/>
      <c r="BD34" s="52"/>
      <c r="BE34" s="50">
        <v>27</v>
      </c>
      <c r="BF34" s="59"/>
      <c r="BG34" s="66" t="s">
        <v>72</v>
      </c>
      <c r="BH34" s="66" t="s">
        <v>71</v>
      </c>
      <c r="BI34" s="66">
        <v>600</v>
      </c>
      <c r="BJ34" s="66" t="str">
        <f t="shared" si="0"/>
        <v>Schneider L kiosk 600 kVA</v>
      </c>
      <c r="BK34" s="66">
        <v>59</v>
      </c>
      <c r="BL34" s="68">
        <v>55.7</v>
      </c>
    </row>
    <row r="35" spans="1:64" ht="18.75" customHeight="1">
      <c r="A35" s="30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"/>
      <c r="S35" s="2"/>
      <c r="T35" s="2"/>
      <c r="U35" s="2"/>
      <c r="V35" s="2"/>
      <c r="W35" s="2"/>
      <c r="X35" s="13"/>
      <c r="Y35" s="13"/>
      <c r="Z35" s="13"/>
      <c r="BD35" s="52"/>
      <c r="BE35" s="50">
        <v>28</v>
      </c>
      <c r="BF35" s="71"/>
      <c r="BG35" s="66" t="s">
        <v>72</v>
      </c>
      <c r="BH35" s="66" t="s">
        <v>71</v>
      </c>
      <c r="BI35" s="66">
        <v>400</v>
      </c>
      <c r="BJ35" s="66" t="str">
        <f t="shared" si="0"/>
        <v>Schneider L kiosk 400 kVA</v>
      </c>
      <c r="BK35" s="66">
        <v>57</v>
      </c>
      <c r="BL35" s="68">
        <v>55.8</v>
      </c>
    </row>
    <row r="36" spans="1:57" ht="18.75" customHeight="1">
      <c r="A36" s="30"/>
      <c r="B36" s="12" t="s">
        <v>5</v>
      </c>
      <c r="C36" s="13">
        <f>C30+C31-C32</f>
        <v>2.6999999999999993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"/>
      <c r="S36" s="2"/>
      <c r="T36" s="2"/>
      <c r="U36" s="2"/>
      <c r="V36" s="2"/>
      <c r="W36" s="2"/>
      <c r="X36" s="13"/>
      <c r="Y36" s="13"/>
      <c r="Z36" s="13"/>
      <c r="BD36" s="52"/>
      <c r="BE36" s="50">
        <v>29</v>
      </c>
    </row>
    <row r="37" spans="1:57" ht="18.75" customHeight="1" thickBot="1">
      <c r="A37" s="30"/>
      <c r="B37" s="15" t="s">
        <v>6</v>
      </c>
      <c r="C37" s="16">
        <f>C33+C34-C32</f>
        <v>1.4000000000000004</v>
      </c>
      <c r="D37" s="16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"/>
      <c r="S37" s="2"/>
      <c r="T37" s="2"/>
      <c r="U37" s="2"/>
      <c r="V37" s="2"/>
      <c r="W37" s="2"/>
      <c r="X37" s="13"/>
      <c r="Y37" s="13"/>
      <c r="Z37" s="13"/>
      <c r="BD37" s="52"/>
      <c r="BE37" s="50">
        <v>30</v>
      </c>
    </row>
    <row r="38" spans="1:64" ht="16.5" customHeight="1">
      <c r="A38" s="30"/>
      <c r="B38" s="25"/>
      <c r="C38" s="26"/>
      <c r="D38" s="2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"/>
      <c r="S38" s="2"/>
      <c r="T38" s="2"/>
      <c r="U38" s="2"/>
      <c r="V38" s="2"/>
      <c r="W38" s="2"/>
      <c r="X38" s="13"/>
      <c r="Y38" s="13"/>
      <c r="Z38" s="13"/>
      <c r="BD38" s="52"/>
      <c r="BL38" s="73" t="s">
        <v>81</v>
      </c>
    </row>
    <row r="39" spans="1:56" ht="16.5" customHeight="1">
      <c r="A39" s="30"/>
      <c r="B39" s="24" t="s">
        <v>35</v>
      </c>
      <c r="C39" s="13">
        <f>-VLOOKUP(C36,BE44:BN50,C37+2)</f>
        <v>-9</v>
      </c>
      <c r="D39" s="18" t="s">
        <v>12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"/>
      <c r="S39" s="2"/>
      <c r="T39" s="2"/>
      <c r="U39" s="2"/>
      <c r="V39" s="2"/>
      <c r="W39" s="2"/>
      <c r="X39" s="13"/>
      <c r="Y39" s="13"/>
      <c r="Z39" s="13"/>
      <c r="BD39" s="52"/>
    </row>
    <row r="40" spans="1:68" ht="13.5" thickBot="1">
      <c r="A40" s="30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"/>
      <c r="S40" s="2"/>
      <c r="T40" s="2"/>
      <c r="U40" s="2"/>
      <c r="V40" s="2"/>
      <c r="W40" s="2"/>
      <c r="X40" s="13"/>
      <c r="Y40" s="13"/>
      <c r="Z40" s="13"/>
      <c r="BD40" s="52"/>
      <c r="BE40" s="59">
        <v>2</v>
      </c>
      <c r="BG40" s="50"/>
      <c r="BH40" s="50"/>
      <c r="BI40" s="50"/>
      <c r="BJ40" s="50"/>
      <c r="BK40" s="50"/>
      <c r="BL40" s="50"/>
      <c r="BM40" s="50"/>
      <c r="BN40" s="50"/>
      <c r="BO40" s="50"/>
      <c r="BP40" s="50"/>
    </row>
    <row r="41" spans="1:68" ht="13.5" thickBot="1">
      <c r="A41" s="31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  <c r="V41" s="3"/>
      <c r="W41" s="3"/>
      <c r="X41" s="16"/>
      <c r="Y41" s="16"/>
      <c r="Z41" s="16"/>
      <c r="BD41" s="52"/>
      <c r="BE41" s="60" t="s">
        <v>23</v>
      </c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</row>
    <row r="42" spans="1:68" ht="14.25" thickBot="1">
      <c r="A42" s="32"/>
      <c r="B42" s="33"/>
      <c r="C42" s="3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BE42" s="61" t="s">
        <v>24</v>
      </c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</row>
    <row r="43" spans="1:68" ht="12.75">
      <c r="A43" s="28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9"/>
      <c r="S43" s="29"/>
      <c r="T43" s="29"/>
      <c r="U43" s="29"/>
      <c r="V43" s="29"/>
      <c r="W43" s="29"/>
      <c r="X43" s="26"/>
      <c r="Y43" s="26"/>
      <c r="Z43" s="26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</row>
    <row r="44" spans="1:68" ht="15">
      <c r="A44" s="40" t="s">
        <v>19</v>
      </c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"/>
      <c r="S44" s="2"/>
      <c r="T44" s="2"/>
      <c r="U44" s="2"/>
      <c r="V44" s="2"/>
      <c r="W44" s="2"/>
      <c r="X44" s="13"/>
      <c r="Y44" s="13"/>
      <c r="Z44" s="13"/>
      <c r="BD44" s="52"/>
      <c r="BE44" s="62"/>
      <c r="BF44" s="62">
        <v>0</v>
      </c>
      <c r="BG44" s="62">
        <v>1</v>
      </c>
      <c r="BH44" s="62">
        <v>2</v>
      </c>
      <c r="BI44" s="62">
        <v>3</v>
      </c>
      <c r="BJ44" s="62">
        <v>4</v>
      </c>
      <c r="BK44" s="62">
        <v>5</v>
      </c>
      <c r="BL44" s="62">
        <v>6</v>
      </c>
      <c r="BM44" s="62">
        <v>7</v>
      </c>
      <c r="BN44" s="62">
        <v>8</v>
      </c>
      <c r="BO44" s="62"/>
      <c r="BP44" s="52"/>
    </row>
    <row r="45" spans="1:68" ht="18">
      <c r="A45" s="30"/>
      <c r="B45" s="12" t="s">
        <v>10</v>
      </c>
      <c r="C45" s="13"/>
      <c r="D45" s="13"/>
      <c r="E45" s="13"/>
      <c r="F45" s="13"/>
      <c r="G45" s="13"/>
      <c r="H45" s="13"/>
      <c r="I45" s="13"/>
      <c r="J45" s="14"/>
      <c r="K45" s="14" t="s">
        <v>27</v>
      </c>
      <c r="L45" s="13"/>
      <c r="M45" s="13"/>
      <c r="N45" s="13"/>
      <c r="O45" s="13"/>
      <c r="P45" s="13"/>
      <c r="Q45" s="13"/>
      <c r="R45" s="2"/>
      <c r="S45" s="2"/>
      <c r="T45" s="2"/>
      <c r="U45" s="2"/>
      <c r="V45" s="2"/>
      <c r="W45" s="2"/>
      <c r="X45" s="13"/>
      <c r="Y45" s="13"/>
      <c r="Z45" s="13"/>
      <c r="BD45" s="52"/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/>
      <c r="BP45" s="52"/>
    </row>
    <row r="46" spans="1:68" ht="15.75" thickBot="1">
      <c r="A46" s="30"/>
      <c r="B46" s="12"/>
      <c r="C46" s="13"/>
      <c r="D46" s="13"/>
      <c r="E46" s="13"/>
      <c r="F46" s="13"/>
      <c r="G46" s="13"/>
      <c r="H46" s="13"/>
      <c r="I46" s="21"/>
      <c r="J46" s="21"/>
      <c r="K46" s="21"/>
      <c r="L46" s="21"/>
      <c r="M46" s="13"/>
      <c r="N46" s="13"/>
      <c r="O46" s="13"/>
      <c r="P46" s="13"/>
      <c r="Q46" s="13"/>
      <c r="R46" s="2"/>
      <c r="S46" s="2"/>
      <c r="T46" s="2"/>
      <c r="U46" s="2"/>
      <c r="V46" s="2"/>
      <c r="W46" s="2"/>
      <c r="X46" s="13"/>
      <c r="Y46" s="13"/>
      <c r="Z46" s="13"/>
      <c r="BD46" s="52"/>
      <c r="BE46" s="63">
        <v>1</v>
      </c>
      <c r="BF46" s="63">
        <v>0</v>
      </c>
      <c r="BG46" s="63">
        <v>8</v>
      </c>
      <c r="BH46" s="63">
        <v>10</v>
      </c>
      <c r="BI46" s="63">
        <v>10</v>
      </c>
      <c r="BJ46" s="63">
        <v>10</v>
      </c>
      <c r="BK46" s="63">
        <v>10</v>
      </c>
      <c r="BL46" s="63">
        <v>10</v>
      </c>
      <c r="BM46" s="63">
        <v>10</v>
      </c>
      <c r="BN46" s="63">
        <v>10</v>
      </c>
      <c r="BO46" s="63"/>
      <c r="BP46" s="54"/>
    </row>
    <row r="47" spans="1:68" ht="15.75" thickBot="1">
      <c r="A47" s="30"/>
      <c r="B47" s="17" t="s">
        <v>11</v>
      </c>
      <c r="C47" s="13">
        <f>VLOOKUP(BE52,BE52:BG57,3)</f>
        <v>35</v>
      </c>
      <c r="D47" s="13" t="s">
        <v>12</v>
      </c>
      <c r="E47" s="21"/>
      <c r="F47" s="21"/>
      <c r="G47" s="21"/>
      <c r="H47" s="21"/>
      <c r="I47" s="13"/>
      <c r="J47" s="13"/>
      <c r="K47" s="13"/>
      <c r="L47" s="13"/>
      <c r="M47" s="13"/>
      <c r="N47" s="13"/>
      <c r="O47" s="13"/>
      <c r="P47" s="13"/>
      <c r="Q47" s="13"/>
      <c r="R47" s="2"/>
      <c r="S47" s="2"/>
      <c r="T47" s="2"/>
      <c r="U47" s="2"/>
      <c r="V47" s="2"/>
      <c r="W47" s="2"/>
      <c r="X47" s="13"/>
      <c r="Y47" s="13"/>
      <c r="Z47" s="13"/>
      <c r="BD47" s="52"/>
      <c r="BE47" s="59">
        <v>2</v>
      </c>
      <c r="BF47" s="59">
        <v>0</v>
      </c>
      <c r="BG47" s="59">
        <v>9</v>
      </c>
      <c r="BH47" s="59">
        <v>11</v>
      </c>
      <c r="BI47" s="59">
        <v>12</v>
      </c>
      <c r="BJ47" s="59">
        <v>13</v>
      </c>
      <c r="BK47" s="59">
        <v>13.5</v>
      </c>
      <c r="BL47" s="59">
        <v>14</v>
      </c>
      <c r="BM47" s="59">
        <v>14</v>
      </c>
      <c r="BN47" s="59">
        <v>14</v>
      </c>
      <c r="BO47" s="59"/>
      <c r="BP47" s="50"/>
    </row>
    <row r="48" spans="1:68" ht="13.5" thickBot="1">
      <c r="A48" s="31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  <c r="V48" s="3"/>
      <c r="W48" s="3"/>
      <c r="X48" s="16"/>
      <c r="Y48" s="16"/>
      <c r="Z48" s="16"/>
      <c r="BD48" s="52"/>
      <c r="BE48" s="64">
        <v>3</v>
      </c>
      <c r="BF48" s="64">
        <v>0</v>
      </c>
      <c r="BG48" s="64">
        <v>10</v>
      </c>
      <c r="BH48" s="64">
        <v>12</v>
      </c>
      <c r="BI48" s="64">
        <v>13</v>
      </c>
      <c r="BJ48" s="64">
        <v>14</v>
      </c>
      <c r="BK48" s="64">
        <v>14.5</v>
      </c>
      <c r="BL48" s="64">
        <v>15</v>
      </c>
      <c r="BM48" s="64">
        <v>15</v>
      </c>
      <c r="BN48" s="64">
        <v>15</v>
      </c>
      <c r="BO48" s="64"/>
      <c r="BP48" s="51"/>
    </row>
    <row r="49" spans="1:68" ht="13.5" thickBot="1">
      <c r="A49" s="32"/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BE49" s="62">
        <v>4</v>
      </c>
      <c r="BF49" s="62">
        <v>0</v>
      </c>
      <c r="BG49" s="62">
        <v>10</v>
      </c>
      <c r="BH49" s="62">
        <v>12</v>
      </c>
      <c r="BI49" s="62">
        <v>14</v>
      </c>
      <c r="BJ49" s="62">
        <v>14.5</v>
      </c>
      <c r="BK49" s="62">
        <v>15</v>
      </c>
      <c r="BL49" s="62">
        <v>15.5</v>
      </c>
      <c r="BM49" s="62">
        <v>16</v>
      </c>
      <c r="BN49" s="62">
        <v>16</v>
      </c>
      <c r="BO49" s="62"/>
      <c r="BP49" s="52"/>
    </row>
    <row r="50" spans="1:68" ht="12.75">
      <c r="A50" s="28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9"/>
      <c r="S50" s="29"/>
      <c r="T50" s="29"/>
      <c r="U50" s="29"/>
      <c r="V50" s="29"/>
      <c r="W50" s="29"/>
      <c r="X50" s="26"/>
      <c r="Y50" s="26"/>
      <c r="Z50" s="26"/>
      <c r="BD50" s="52"/>
      <c r="BE50" s="62">
        <v>5</v>
      </c>
      <c r="BF50" s="62">
        <v>0</v>
      </c>
      <c r="BG50" s="62">
        <v>10</v>
      </c>
      <c r="BH50" s="62">
        <v>12</v>
      </c>
      <c r="BI50" s="62">
        <v>14</v>
      </c>
      <c r="BJ50" s="62">
        <v>15</v>
      </c>
      <c r="BK50" s="62">
        <v>15.5</v>
      </c>
      <c r="BL50" s="62">
        <v>16</v>
      </c>
      <c r="BM50" s="62">
        <v>16</v>
      </c>
      <c r="BN50" s="62">
        <v>16</v>
      </c>
      <c r="BO50" s="62"/>
      <c r="BP50" s="52"/>
    </row>
    <row r="51" spans="1:56" ht="15.75" thickBot="1">
      <c r="A51" s="40" t="s">
        <v>84</v>
      </c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"/>
      <c r="S51" s="2"/>
      <c r="T51" s="2"/>
      <c r="U51" s="2"/>
      <c r="V51" s="2"/>
      <c r="W51" s="2"/>
      <c r="X51" s="13"/>
      <c r="Y51" s="13"/>
      <c r="Z51" s="13"/>
      <c r="BD51" s="52"/>
    </row>
    <row r="52" spans="1:59" ht="23.25" customHeight="1" thickBot="1">
      <c r="A52" s="40"/>
      <c r="B52" s="12" t="s">
        <v>28</v>
      </c>
      <c r="C52" s="95">
        <f>IF(BE40=1,C20+C39,C20)</f>
        <v>60</v>
      </c>
      <c r="D52" s="97" t="s">
        <v>40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2"/>
      <c r="S52" s="2"/>
      <c r="T52" s="2"/>
      <c r="U52" s="2"/>
      <c r="V52" s="2"/>
      <c r="W52" s="2"/>
      <c r="X52" s="13"/>
      <c r="Y52" s="13"/>
      <c r="Z52" s="13"/>
      <c r="BD52" s="52"/>
      <c r="BE52" s="52">
        <v>2</v>
      </c>
      <c r="BF52" s="55" t="s">
        <v>7</v>
      </c>
      <c r="BG52" s="56" t="s">
        <v>38</v>
      </c>
    </row>
    <row r="53" spans="1:59" ht="27.75" thickBot="1">
      <c r="A53" s="30"/>
      <c r="B53" s="12" t="s">
        <v>29</v>
      </c>
      <c r="C53" s="13">
        <f>C47</f>
        <v>35</v>
      </c>
      <c r="D53" s="13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2"/>
      <c r="S53" s="2"/>
      <c r="T53" s="2"/>
      <c r="U53" s="2"/>
      <c r="V53" s="2"/>
      <c r="W53" s="2"/>
      <c r="X53" s="13"/>
      <c r="Y53" s="13"/>
      <c r="Z53" s="13"/>
      <c r="BD53" s="52"/>
      <c r="BE53" s="52">
        <v>1</v>
      </c>
      <c r="BF53" s="57" t="s">
        <v>18</v>
      </c>
      <c r="BG53" s="53">
        <v>30</v>
      </c>
    </row>
    <row r="54" spans="1:59" ht="13.5" customHeight="1" thickBot="1">
      <c r="A54" s="30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"/>
      <c r="S54" s="2"/>
      <c r="T54" s="2"/>
      <c r="U54" s="2"/>
      <c r="V54" s="2"/>
      <c r="W54" s="2"/>
      <c r="X54" s="13"/>
      <c r="Y54" s="13"/>
      <c r="Z54" s="13"/>
      <c r="BD54" s="52"/>
      <c r="BE54" s="52">
        <v>2</v>
      </c>
      <c r="BF54" s="57" t="s">
        <v>17</v>
      </c>
      <c r="BG54" s="53">
        <v>35</v>
      </c>
    </row>
    <row r="55" spans="1:59" ht="46.5" customHeight="1" thickBot="1">
      <c r="A55" s="30"/>
      <c r="B55" s="18" t="s">
        <v>30</v>
      </c>
      <c r="C55" s="147" t="str">
        <f>IF(C52&gt;C53,"You will need to consider further mitigation measures","The predicted noise level meets the criteria")</f>
        <v>You will need to consider further mitigation measures</v>
      </c>
      <c r="D55" s="148"/>
      <c r="E55" s="13"/>
      <c r="F55" s="19" t="s">
        <v>87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"/>
      <c r="S55" s="2"/>
      <c r="T55" s="2"/>
      <c r="U55" s="2"/>
      <c r="V55" s="2"/>
      <c r="W55" s="2"/>
      <c r="X55" s="13"/>
      <c r="Y55" s="13"/>
      <c r="Z55" s="13"/>
      <c r="BD55" s="52"/>
      <c r="BE55" s="52">
        <v>3</v>
      </c>
      <c r="BF55" s="57" t="s">
        <v>16</v>
      </c>
      <c r="BG55" s="53">
        <v>40</v>
      </c>
    </row>
    <row r="56" spans="1:59" ht="21" customHeight="1" thickBot="1">
      <c r="A56" s="31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3"/>
      <c r="S56" s="3"/>
      <c r="T56" s="3"/>
      <c r="U56" s="3"/>
      <c r="V56" s="3"/>
      <c r="W56" s="3"/>
      <c r="X56" s="16"/>
      <c r="Y56" s="16"/>
      <c r="Z56" s="16"/>
      <c r="BD56" s="52"/>
      <c r="BE56" s="52">
        <v>5</v>
      </c>
      <c r="BF56" s="57" t="s">
        <v>14</v>
      </c>
      <c r="BG56" s="53">
        <v>50</v>
      </c>
    </row>
    <row r="57" spans="57:59" ht="96.75" thickBot="1">
      <c r="BE57" s="52">
        <v>6</v>
      </c>
      <c r="BF57" s="58" t="s">
        <v>13</v>
      </c>
      <c r="BG57" s="53">
        <v>55</v>
      </c>
    </row>
  </sheetData>
  <sheetProtection/>
  <mergeCells count="1">
    <mergeCell ref="C55:D55"/>
  </mergeCells>
  <conditionalFormatting sqref="C55:D55">
    <cfRule type="containsText" priority="1" dxfId="0" operator="containsText" stopIfTrue="1" text="further">
      <formula>NOT(ISERROR(SEARCH("further",C55)))</formula>
    </cfRule>
  </conditionalFormatting>
  <printOptions/>
  <pageMargins left="0.56" right="0.47" top="0.59" bottom="0.984251968503937" header="0.5118110236220472" footer="0.5118110236220472"/>
  <pageSetup fitToHeight="1" fitToWidth="1" horizontalDpi="600" verticalDpi="600" orientation="portrait" paperSize="9" scale="19" r:id="rId3"/>
  <headerFooter alignWithMargins="0">
    <oddFooter>&amp;L&amp;1#&amp;"Calibri"&amp;8&amp;K000000For Official use only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9.57421875" style="0" customWidth="1"/>
    <col min="2" max="2" width="33.28125" style="1" customWidth="1"/>
    <col min="4" max="4" width="10.421875" style="0" customWidth="1"/>
    <col min="8" max="8" width="3.140625" style="0" customWidth="1"/>
    <col min="10" max="10" width="3.140625" style="0" customWidth="1"/>
    <col min="14" max="14" width="0" style="0" hidden="1" customWidth="1"/>
    <col min="15" max="22" width="3.8515625" style="0" hidden="1" customWidth="1"/>
    <col min="23" max="23" width="4.57421875" style="0" hidden="1" customWidth="1"/>
    <col min="24" max="24" width="9.57421875" style="0" bestFit="1" customWidth="1"/>
    <col min="25" max="25" width="9.421875" style="0" customWidth="1"/>
    <col min="26" max="26" width="4.28125" style="0" customWidth="1"/>
    <col min="27" max="55" width="12.421875" style="52" customWidth="1"/>
    <col min="56" max="58" width="12.421875" style="50" customWidth="1"/>
    <col min="59" max="92" width="12.421875" style="0" customWidth="1"/>
    <col min="135" max="136" width="8.8515625" style="0" customWidth="1"/>
  </cols>
  <sheetData>
    <row r="1" spans="1:26" ht="12.75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9"/>
      <c r="W1" s="9"/>
      <c r="X1" s="4"/>
      <c r="Y1" s="4"/>
      <c r="Z1" s="27"/>
    </row>
    <row r="2" spans="1:26" ht="42.75" customHeight="1" thickBot="1">
      <c r="A2" s="6" t="s">
        <v>98</v>
      </c>
      <c r="B2" s="7"/>
      <c r="C2" s="8"/>
      <c r="D2" s="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9"/>
      <c r="W2" s="9"/>
      <c r="X2" s="4"/>
      <c r="Y2" s="4"/>
      <c r="Z2" s="27"/>
    </row>
    <row r="3" spans="1:66" ht="15" customHeight="1" thickBot="1">
      <c r="A3" s="35" t="s">
        <v>110</v>
      </c>
      <c r="B3" s="36"/>
      <c r="C3" s="37"/>
      <c r="D3" s="37"/>
      <c r="E3" s="37"/>
      <c r="F3" s="37"/>
      <c r="G3" s="37"/>
      <c r="H3" s="37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BD3" s="52"/>
      <c r="BN3" s="96" t="s">
        <v>85</v>
      </c>
    </row>
    <row r="4" spans="1:66" ht="24" customHeight="1">
      <c r="A4" s="105"/>
      <c r="B4" s="106"/>
      <c r="C4" s="107"/>
      <c r="D4" s="107"/>
      <c r="E4" s="107"/>
      <c r="F4" s="107"/>
      <c r="G4" s="107"/>
      <c r="H4" s="107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BD4" s="52"/>
      <c r="BF4" s="103" t="s">
        <v>96</v>
      </c>
      <c r="BN4" s="96" t="s">
        <v>85</v>
      </c>
    </row>
    <row r="5" spans="1:66" ht="24" customHeight="1">
      <c r="A5" s="109" t="s">
        <v>101</v>
      </c>
      <c r="B5" s="110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BD5" s="52"/>
      <c r="BF5" s="103" t="s">
        <v>95</v>
      </c>
      <c r="BN5" s="96" t="s">
        <v>85</v>
      </c>
    </row>
    <row r="6" spans="1:66" ht="9" customHeight="1" thickBot="1">
      <c r="A6" s="111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BD6" s="52"/>
      <c r="BF6" s="146"/>
      <c r="BG6" s="146"/>
      <c r="BH6" s="146"/>
      <c r="BI6" s="146"/>
      <c r="BJ6" s="146"/>
      <c r="BK6" s="146"/>
      <c r="BL6" s="146"/>
      <c r="BN6" s="96"/>
    </row>
    <row r="7" spans="1:66" ht="16.5" customHeight="1" thickBot="1">
      <c r="A7" s="111"/>
      <c r="B7" s="110" t="s">
        <v>99</v>
      </c>
      <c r="C7" s="122">
        <v>56</v>
      </c>
      <c r="D7" s="108" t="s">
        <v>12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BD7" s="52"/>
      <c r="BF7" s="146"/>
      <c r="BG7" s="146"/>
      <c r="BH7" s="146"/>
      <c r="BI7" s="146"/>
      <c r="BJ7" s="146"/>
      <c r="BK7" s="146"/>
      <c r="BL7" s="146"/>
      <c r="BN7" s="96"/>
    </row>
    <row r="8" spans="1:66" ht="16.5" customHeight="1" thickBot="1">
      <c r="A8" s="111"/>
      <c r="B8" s="110"/>
      <c r="C8" s="108"/>
      <c r="D8" s="108"/>
      <c r="E8" s="112" t="s">
        <v>8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BD8" s="52"/>
      <c r="BF8" s="146"/>
      <c r="BG8" s="146"/>
      <c r="BH8" s="146"/>
      <c r="BI8" s="146"/>
      <c r="BJ8" s="146"/>
      <c r="BK8" s="146"/>
      <c r="BL8" s="146"/>
      <c r="BN8" s="96"/>
    </row>
    <row r="9" spans="1:66" ht="16.5" customHeight="1" thickBot="1">
      <c r="A9" s="111"/>
      <c r="B9" s="110" t="s">
        <v>100</v>
      </c>
      <c r="C9" s="122">
        <v>5</v>
      </c>
      <c r="D9" s="108" t="s">
        <v>44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BD9" s="52"/>
      <c r="BF9" s="146"/>
      <c r="BG9" s="146"/>
      <c r="BH9" s="146"/>
      <c r="BI9" s="146"/>
      <c r="BJ9" s="146"/>
      <c r="BK9" s="146"/>
      <c r="BL9" s="146"/>
      <c r="BN9" s="96"/>
    </row>
    <row r="10" spans="1:66" ht="24" customHeight="1">
      <c r="A10" s="111"/>
      <c r="B10" s="110" t="s">
        <v>120</v>
      </c>
      <c r="C10" s="108">
        <f>C7+(20*LOG10(C9))+8</f>
        <v>77.97940008672037</v>
      </c>
      <c r="D10" s="108" t="s">
        <v>12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BD10" s="52"/>
      <c r="BF10" s="102"/>
      <c r="BG10" s="144"/>
      <c r="BH10" s="141"/>
      <c r="BI10" s="141"/>
      <c r="BJ10" s="141"/>
      <c r="BK10" s="143"/>
      <c r="BL10" s="143"/>
      <c r="BN10" s="96" t="s">
        <v>86</v>
      </c>
    </row>
    <row r="11" spans="1:66" ht="15" thickBot="1">
      <c r="A11" s="111"/>
      <c r="B11" s="110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BD11" s="52"/>
      <c r="BF11" s="145"/>
      <c r="BG11" s="144"/>
      <c r="BH11" s="141"/>
      <c r="BI11" s="141"/>
      <c r="BJ11" s="141"/>
      <c r="BK11" s="143"/>
      <c r="BL11" s="143"/>
      <c r="BN11" s="96" t="s">
        <v>86</v>
      </c>
    </row>
    <row r="12" spans="1:66" ht="15" customHeight="1" thickBot="1">
      <c r="A12" s="111"/>
      <c r="B12" s="110" t="s">
        <v>31</v>
      </c>
      <c r="C12" s="122">
        <v>10</v>
      </c>
      <c r="D12" s="108" t="s">
        <v>44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BD12" s="52"/>
      <c r="BF12" s="145"/>
      <c r="BG12" s="144"/>
      <c r="BH12" s="141"/>
      <c r="BI12" s="141"/>
      <c r="BJ12" s="141"/>
      <c r="BK12" s="143"/>
      <c r="BL12" s="143"/>
      <c r="BN12" s="96" t="s">
        <v>86</v>
      </c>
    </row>
    <row r="13" spans="1:64" ht="12" customHeight="1" thickBot="1">
      <c r="A13" s="111"/>
      <c r="B13" s="110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BD13" s="52"/>
      <c r="BF13" s="145"/>
      <c r="BG13" s="144"/>
      <c r="BH13" s="141"/>
      <c r="BI13" s="141"/>
      <c r="BJ13" s="141"/>
      <c r="BK13" s="143"/>
      <c r="BL13" s="143"/>
    </row>
    <row r="14" spans="1:68" ht="18.75" customHeight="1" thickBot="1">
      <c r="A14" s="111"/>
      <c r="B14" s="113" t="s">
        <v>88</v>
      </c>
      <c r="C14" s="108"/>
      <c r="D14" s="108"/>
      <c r="E14" s="108"/>
      <c r="F14" s="108"/>
      <c r="G14" s="112" t="s">
        <v>20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BD14" s="52"/>
      <c r="BF14" s="145"/>
      <c r="BG14" s="144"/>
      <c r="BH14" s="141"/>
      <c r="BI14" s="141"/>
      <c r="BJ14" s="141"/>
      <c r="BK14" s="143"/>
      <c r="BL14" s="143"/>
      <c r="BN14" s="96" t="s">
        <v>91</v>
      </c>
      <c r="BP14" s="99">
        <v>2</v>
      </c>
    </row>
    <row r="15" spans="1:69" ht="12" customHeight="1" thickBot="1">
      <c r="A15" s="111"/>
      <c r="B15" s="110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BD15" s="52"/>
      <c r="BF15" s="102"/>
      <c r="BG15" s="144"/>
      <c r="BH15" s="144"/>
      <c r="BI15" s="144"/>
      <c r="BJ15" s="141"/>
      <c r="BK15" s="141"/>
      <c r="BL15" s="142"/>
      <c r="BN15" s="101" t="s">
        <v>92</v>
      </c>
      <c r="BP15" s="99">
        <v>2</v>
      </c>
      <c r="BQ15" s="100" t="s">
        <v>89</v>
      </c>
    </row>
    <row r="16" spans="1:69" ht="18" customHeight="1" thickBot="1">
      <c r="A16" s="111"/>
      <c r="B16" s="113" t="s">
        <v>102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BD16" s="52"/>
      <c r="BF16" s="145"/>
      <c r="BG16" s="144"/>
      <c r="BH16" s="144"/>
      <c r="BI16" s="144"/>
      <c r="BJ16" s="141"/>
      <c r="BK16" s="141"/>
      <c r="BL16" s="142"/>
      <c r="BN16" s="101" t="s">
        <v>93</v>
      </c>
      <c r="BP16" s="99">
        <v>2</v>
      </c>
      <c r="BQ16" s="100" t="s">
        <v>90</v>
      </c>
    </row>
    <row r="17" spans="1:69" ht="12" customHeight="1">
      <c r="A17" s="111"/>
      <c r="B17" s="114" t="s">
        <v>97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BD17" s="52"/>
      <c r="BF17" s="145"/>
      <c r="BG17" s="144"/>
      <c r="BH17" s="144"/>
      <c r="BI17" s="144"/>
      <c r="BJ17" s="141"/>
      <c r="BK17" s="141"/>
      <c r="BL17" s="143"/>
      <c r="BN17" s="101"/>
      <c r="BQ17" s="100" t="s">
        <v>23</v>
      </c>
    </row>
    <row r="18" spans="1:69" ht="5.25" customHeight="1">
      <c r="A18" s="111"/>
      <c r="B18" s="110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BD18" s="52"/>
      <c r="BF18" s="145"/>
      <c r="BG18" s="144"/>
      <c r="BH18" s="144"/>
      <c r="BI18" s="144"/>
      <c r="BJ18" s="141"/>
      <c r="BK18" s="141"/>
      <c r="BL18" s="143"/>
      <c r="BN18" s="101"/>
      <c r="BQ18" s="102" t="s">
        <v>24</v>
      </c>
    </row>
    <row r="19" spans="1:64" ht="5.25" customHeight="1">
      <c r="A19" s="111"/>
      <c r="B19" s="110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BD19" s="52"/>
      <c r="BF19" s="102"/>
      <c r="BG19" s="144"/>
      <c r="BH19" s="144"/>
      <c r="BI19" s="144"/>
      <c r="BJ19" s="141"/>
      <c r="BK19" s="141"/>
      <c r="BL19" s="143"/>
    </row>
    <row r="20" spans="1:64" ht="24" customHeight="1" thickBot="1">
      <c r="A20" s="111"/>
      <c r="B20" s="132" t="s">
        <v>104</v>
      </c>
      <c r="C20" s="116">
        <f>-20*LOG10(C12)-8+IF(BP15=1,-3,0)+IF(BP16=1,3,0)</f>
        <v>-28</v>
      </c>
      <c r="D20" s="117" t="s">
        <v>12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BD20" s="52"/>
      <c r="BF20" s="145"/>
      <c r="BG20" s="144"/>
      <c r="BH20" s="144"/>
      <c r="BI20" s="144"/>
      <c r="BJ20" s="141"/>
      <c r="BK20" s="141"/>
      <c r="BL20" s="143"/>
    </row>
    <row r="21" spans="1:64" ht="12.75" customHeight="1">
      <c r="A21" s="111"/>
      <c r="B21" s="11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BD21" s="52"/>
      <c r="BF21" s="145"/>
      <c r="BG21" s="144"/>
      <c r="BH21" s="144"/>
      <c r="BI21" s="144"/>
      <c r="BJ21" s="141"/>
      <c r="BK21" s="141"/>
      <c r="BL21" s="143"/>
    </row>
    <row r="22" spans="1:64" ht="27" customHeight="1">
      <c r="A22" s="111"/>
      <c r="B22" s="118" t="s">
        <v>105</v>
      </c>
      <c r="C22" s="133">
        <f>C10+C20</f>
        <v>49.979400086720375</v>
      </c>
      <c r="D22" s="134" t="s">
        <v>40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BD22" s="52"/>
      <c r="BF22" s="102"/>
      <c r="BG22" s="144"/>
      <c r="BH22" s="144"/>
      <c r="BI22" s="144"/>
      <c r="BJ22" s="141"/>
      <c r="BK22" s="141"/>
      <c r="BL22" s="143"/>
    </row>
    <row r="23" spans="1:64" ht="22.5" customHeight="1" thickBot="1">
      <c r="A23" s="121"/>
      <c r="B23" s="115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BD23" s="52"/>
      <c r="BF23" s="145"/>
      <c r="BG23" s="144"/>
      <c r="BH23" s="144"/>
      <c r="BI23" s="144"/>
      <c r="BJ23" s="141"/>
      <c r="BK23" s="141"/>
      <c r="BL23" s="143"/>
    </row>
    <row r="24" spans="1:64" ht="13.5" thickBo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BF24" s="145"/>
      <c r="BG24" s="144"/>
      <c r="BH24" s="144"/>
      <c r="BI24" s="144"/>
      <c r="BJ24" s="141"/>
      <c r="BK24" s="141"/>
      <c r="BL24" s="143"/>
    </row>
    <row r="25" spans="1:64" ht="12.75">
      <c r="A25" s="12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>
        <v>6</v>
      </c>
      <c r="O25" s="125">
        <v>0</v>
      </c>
      <c r="P25" s="125">
        <v>10</v>
      </c>
      <c r="Q25" s="125">
        <v>12</v>
      </c>
      <c r="R25" s="125">
        <v>14</v>
      </c>
      <c r="S25" s="125">
        <v>15</v>
      </c>
      <c r="T25" s="125">
        <v>16</v>
      </c>
      <c r="U25" s="125">
        <v>16</v>
      </c>
      <c r="V25" s="125">
        <v>16</v>
      </c>
      <c r="W25" s="125">
        <v>16</v>
      </c>
      <c r="X25" s="125"/>
      <c r="Y25" s="125"/>
      <c r="Z25" s="125"/>
      <c r="BD25" s="52"/>
      <c r="BF25" s="145"/>
      <c r="BG25" s="144"/>
      <c r="BH25" s="144"/>
      <c r="BI25" s="144"/>
      <c r="BJ25" s="141"/>
      <c r="BK25" s="141"/>
      <c r="BL25" s="143"/>
    </row>
    <row r="26" spans="1:64" ht="15.75">
      <c r="A26" s="109" t="s">
        <v>22</v>
      </c>
      <c r="B26" s="110"/>
      <c r="C26" s="108"/>
      <c r="D26" s="108"/>
      <c r="E26" s="108"/>
      <c r="F26" s="108"/>
      <c r="G26" s="108"/>
      <c r="H26" s="108"/>
      <c r="I26" s="120"/>
      <c r="J26" s="108"/>
      <c r="K26" s="108"/>
      <c r="L26" s="108"/>
      <c r="M26" s="108"/>
      <c r="N26" s="108">
        <v>7</v>
      </c>
      <c r="O26" s="108">
        <v>0</v>
      </c>
      <c r="P26" s="108">
        <v>10</v>
      </c>
      <c r="Q26" s="108">
        <v>12</v>
      </c>
      <c r="R26" s="108">
        <v>14</v>
      </c>
      <c r="S26" s="108">
        <v>15</v>
      </c>
      <c r="T26" s="108">
        <v>16</v>
      </c>
      <c r="U26" s="108">
        <v>16</v>
      </c>
      <c r="V26" s="108">
        <v>16</v>
      </c>
      <c r="W26" s="108">
        <v>16</v>
      </c>
      <c r="X26" s="108"/>
      <c r="Y26" s="108"/>
      <c r="Z26" s="108"/>
      <c r="BD26" s="52"/>
      <c r="BF26" s="145"/>
      <c r="BG26" s="144"/>
      <c r="BH26" s="144"/>
      <c r="BI26" s="144"/>
      <c r="BJ26" s="141"/>
      <c r="BK26" s="141"/>
      <c r="BL26" s="143"/>
    </row>
    <row r="27" spans="1:64" ht="12.75">
      <c r="A27" s="111"/>
      <c r="B27" s="110"/>
      <c r="C27" s="108"/>
      <c r="D27" s="108"/>
      <c r="E27" s="108"/>
      <c r="F27" s="108"/>
      <c r="G27" s="108"/>
      <c r="H27" s="108"/>
      <c r="I27" s="120"/>
      <c r="J27" s="108"/>
      <c r="K27" s="108"/>
      <c r="L27" s="108"/>
      <c r="M27" s="108"/>
      <c r="N27" s="108">
        <v>8</v>
      </c>
      <c r="O27" s="108">
        <v>0</v>
      </c>
      <c r="P27" s="108">
        <v>10</v>
      </c>
      <c r="Q27" s="108">
        <v>12</v>
      </c>
      <c r="R27" s="108">
        <v>14</v>
      </c>
      <c r="S27" s="108">
        <v>15</v>
      </c>
      <c r="T27" s="108">
        <v>16</v>
      </c>
      <c r="U27" s="108">
        <v>16</v>
      </c>
      <c r="V27" s="108">
        <v>16</v>
      </c>
      <c r="W27" s="108">
        <v>16</v>
      </c>
      <c r="X27" s="108"/>
      <c r="Y27" s="108"/>
      <c r="Z27" s="108"/>
      <c r="BD27" s="52"/>
      <c r="BF27" s="145"/>
      <c r="BG27" s="144"/>
      <c r="BH27" s="144"/>
      <c r="BI27" s="144"/>
      <c r="BJ27" s="141"/>
      <c r="BK27" s="141"/>
      <c r="BL27" s="143"/>
    </row>
    <row r="28" spans="1:64" ht="38.25">
      <c r="A28" s="111"/>
      <c r="B28" s="113" t="s">
        <v>103</v>
      </c>
      <c r="C28" s="108"/>
      <c r="D28" s="108"/>
      <c r="E28" s="126" t="s">
        <v>25</v>
      </c>
      <c r="F28" s="108"/>
      <c r="G28" s="108"/>
      <c r="H28" s="108"/>
      <c r="I28" s="120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BD28" s="52"/>
      <c r="BF28" s="145"/>
      <c r="BG28" s="144"/>
      <c r="BH28" s="144"/>
      <c r="BI28" s="144"/>
      <c r="BJ28" s="141"/>
      <c r="BK28" s="141"/>
      <c r="BL28" s="143"/>
    </row>
    <row r="29" spans="1:64" ht="12.75">
      <c r="A29" s="111"/>
      <c r="B29" s="110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BD29" s="52"/>
      <c r="BF29" s="145"/>
      <c r="BG29" s="144"/>
      <c r="BH29" s="144"/>
      <c r="BI29" s="144"/>
      <c r="BJ29" s="141"/>
      <c r="BK29" s="141"/>
      <c r="BL29" s="143"/>
    </row>
    <row r="30" spans="1:64" ht="14.25" customHeight="1">
      <c r="A30" s="111"/>
      <c r="B30" s="127" t="s">
        <v>37</v>
      </c>
      <c r="C30" s="127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BD30" s="52"/>
      <c r="BF30" s="102"/>
      <c r="BG30" s="144"/>
      <c r="BH30" s="144"/>
      <c r="BI30" s="144"/>
      <c r="BJ30" s="141"/>
      <c r="BK30" s="144"/>
      <c r="BL30" s="143"/>
    </row>
    <row r="31" spans="1:64" ht="14.25" customHeight="1" thickBot="1">
      <c r="A31" s="111"/>
      <c r="B31" s="110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BD31" s="52"/>
      <c r="BF31" s="102"/>
      <c r="BG31" s="141"/>
      <c r="BH31" s="141"/>
      <c r="BI31" s="141"/>
      <c r="BJ31" s="141"/>
      <c r="BK31" s="141"/>
      <c r="BL31" s="143"/>
    </row>
    <row r="32" spans="1:64" ht="14.25" customHeight="1" thickBot="1">
      <c r="A32" s="111"/>
      <c r="B32" s="110" t="s">
        <v>0</v>
      </c>
      <c r="C32" s="122">
        <v>4.2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BD32" s="52"/>
      <c r="BF32" s="145"/>
      <c r="BG32" s="141"/>
      <c r="BH32" s="141"/>
      <c r="BI32" s="141"/>
      <c r="BJ32" s="141"/>
      <c r="BK32" s="141"/>
      <c r="BL32" s="143"/>
    </row>
    <row r="33" spans="1:64" ht="14.25" customHeight="1" thickBot="1">
      <c r="A33" s="111"/>
      <c r="B33" s="110" t="s">
        <v>1</v>
      </c>
      <c r="C33" s="122">
        <v>7.6</v>
      </c>
      <c r="D33" s="108"/>
      <c r="E33" s="126" t="s">
        <v>26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BD33" s="52"/>
      <c r="BF33" s="145"/>
      <c r="BG33" s="141"/>
      <c r="BH33" s="141"/>
      <c r="BI33" s="141"/>
      <c r="BJ33" s="141"/>
      <c r="BK33" s="141"/>
      <c r="BL33" s="143"/>
    </row>
    <row r="34" spans="1:64" ht="14.25" customHeight="1" thickBot="1">
      <c r="A34" s="111"/>
      <c r="B34" s="110" t="s">
        <v>2</v>
      </c>
      <c r="C34" s="122">
        <v>10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BD34" s="52"/>
      <c r="BF34" s="145"/>
      <c r="BG34" s="141"/>
      <c r="BH34" s="141"/>
      <c r="BI34" s="141"/>
      <c r="BJ34" s="141"/>
      <c r="BK34" s="141"/>
      <c r="BL34" s="143"/>
    </row>
    <row r="35" spans="1:64" ht="14.25" customHeight="1" thickBot="1">
      <c r="A35" s="111"/>
      <c r="B35" s="110" t="s">
        <v>3</v>
      </c>
      <c r="C35" s="122">
        <v>5.8</v>
      </c>
      <c r="D35" s="108"/>
      <c r="E35" s="108"/>
      <c r="F35" s="108"/>
      <c r="G35" s="108"/>
      <c r="H35" s="108"/>
      <c r="I35" s="151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BD35" s="52"/>
      <c r="BF35" s="102"/>
      <c r="BG35" s="141"/>
      <c r="BH35" s="141"/>
      <c r="BI35" s="141"/>
      <c r="BJ35" s="141"/>
      <c r="BK35" s="141"/>
      <c r="BL35" s="143"/>
    </row>
    <row r="36" spans="1:64" ht="14.25" customHeight="1" thickBot="1">
      <c r="A36" s="111"/>
      <c r="B36" s="110" t="s">
        <v>4</v>
      </c>
      <c r="C36" s="122">
        <v>8.6</v>
      </c>
      <c r="D36" s="108"/>
      <c r="E36" s="108"/>
      <c r="F36" s="108"/>
      <c r="G36" s="108"/>
      <c r="H36" s="108"/>
      <c r="I36" s="151" t="s">
        <v>123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BD36" s="52"/>
      <c r="BF36" s="145"/>
      <c r="BG36" s="141"/>
      <c r="BH36" s="141"/>
      <c r="BI36" s="141"/>
      <c r="BJ36" s="141"/>
      <c r="BK36" s="141"/>
      <c r="BL36" s="143"/>
    </row>
    <row r="37" spans="1:64" ht="18.75" customHeight="1" thickBot="1">
      <c r="A37" s="111"/>
      <c r="B37" s="110"/>
      <c r="C37" s="108"/>
      <c r="D37" s="108"/>
      <c r="E37" s="108"/>
      <c r="F37" s="108"/>
      <c r="G37" s="108"/>
      <c r="H37" s="108"/>
      <c r="I37" s="120" t="s">
        <v>117</v>
      </c>
      <c r="J37" s="108"/>
      <c r="K37" s="108"/>
      <c r="L37" s="139">
        <v>2</v>
      </c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BD37" s="52"/>
      <c r="BF37" s="145"/>
      <c r="BG37" s="141"/>
      <c r="BH37" s="141"/>
      <c r="BI37" s="141"/>
      <c r="BJ37" s="141"/>
      <c r="BK37" s="141"/>
      <c r="BL37" s="143"/>
    </row>
    <row r="38" spans="1:64" ht="18.75" customHeight="1" thickBot="1">
      <c r="A38" s="111"/>
      <c r="B38" s="110" t="s">
        <v>5</v>
      </c>
      <c r="C38" s="108">
        <f>C32+C33-C34</f>
        <v>1.8000000000000007</v>
      </c>
      <c r="D38" s="108"/>
      <c r="E38" s="108"/>
      <c r="F38" s="108"/>
      <c r="G38" s="108"/>
      <c r="H38" s="108"/>
      <c r="I38" s="108" t="s">
        <v>118</v>
      </c>
      <c r="J38" s="108"/>
      <c r="K38" s="108"/>
      <c r="L38" s="139">
        <v>2</v>
      </c>
      <c r="M38" s="138" t="s">
        <v>113</v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40">
        <f>SQRT(L42^2+(L39-L37)^2)</f>
        <v>4.242640687119285</v>
      </c>
      <c r="Y38" s="108"/>
      <c r="Z38" s="108"/>
      <c r="BD38" s="52"/>
      <c r="BF38" s="145"/>
      <c r="BG38" s="141"/>
      <c r="BH38" s="141"/>
      <c r="BI38" s="141"/>
      <c r="BJ38" s="141"/>
      <c r="BK38" s="141"/>
      <c r="BL38" s="143"/>
    </row>
    <row r="39" spans="1:64" ht="18.75" customHeight="1" thickBot="1">
      <c r="A39" s="111"/>
      <c r="B39" s="115" t="s">
        <v>6</v>
      </c>
      <c r="C39" s="117">
        <f>C35+C36-C34</f>
        <v>4.399999999999999</v>
      </c>
      <c r="D39" s="117"/>
      <c r="E39" s="108"/>
      <c r="F39" s="108"/>
      <c r="G39" s="108"/>
      <c r="H39" s="108"/>
      <c r="I39" s="120" t="s">
        <v>111</v>
      </c>
      <c r="J39" s="108"/>
      <c r="K39" s="108"/>
      <c r="L39" s="139">
        <v>5</v>
      </c>
      <c r="M39" s="138" t="s">
        <v>114</v>
      </c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40">
        <f>SQRT((L41-L42)^2+(L39-L38)^2)</f>
        <v>7.615773105863909</v>
      </c>
      <c r="Y39" s="108"/>
      <c r="Z39" s="108"/>
      <c r="BD39" s="52"/>
      <c r="BF39" s="145"/>
      <c r="BG39" s="141"/>
      <c r="BH39" s="141"/>
      <c r="BI39" s="141"/>
      <c r="BJ39" s="141"/>
      <c r="BK39" s="141"/>
      <c r="BL39" s="143"/>
    </row>
    <row r="40" spans="1:64" ht="16.5" customHeight="1" thickBot="1">
      <c r="A40" s="111"/>
      <c r="B40" s="124"/>
      <c r="C40" s="125"/>
      <c r="D40" s="125"/>
      <c r="E40" s="108"/>
      <c r="F40" s="108"/>
      <c r="G40" s="108"/>
      <c r="H40" s="108"/>
      <c r="I40" s="120" t="s">
        <v>112</v>
      </c>
      <c r="J40" s="108"/>
      <c r="K40" s="108"/>
      <c r="L40" s="139">
        <v>10</v>
      </c>
      <c r="M40" s="138" t="s">
        <v>115</v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40">
        <f>SQRT(L41^2+(L38-L37)^2)</f>
        <v>10</v>
      </c>
      <c r="Y40" s="108"/>
      <c r="Z40" s="108"/>
      <c r="BD40" s="52"/>
      <c r="BF40" s="145"/>
      <c r="BG40" s="145"/>
      <c r="BH40" s="145"/>
      <c r="BI40" s="145"/>
      <c r="BJ40" s="145"/>
      <c r="BK40" s="145"/>
      <c r="BL40" s="143"/>
    </row>
    <row r="41" spans="1:56" ht="16.5" customHeight="1" thickBot="1">
      <c r="A41" s="111"/>
      <c r="B41" s="128" t="s">
        <v>35</v>
      </c>
      <c r="C41" s="108">
        <f>-VLOOKUP(C38,BE46:BN58,C39+2)</f>
        <v>-10</v>
      </c>
      <c r="D41" s="120" t="s">
        <v>12</v>
      </c>
      <c r="E41" s="108"/>
      <c r="F41" s="108"/>
      <c r="G41" s="108"/>
      <c r="H41" s="108"/>
      <c r="I41" s="120" t="s">
        <v>121</v>
      </c>
      <c r="J41" s="108"/>
      <c r="K41" s="108"/>
      <c r="L41" s="139">
        <v>10</v>
      </c>
      <c r="M41" s="138" t="s">
        <v>116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40">
        <f>SQRT(L42^2+(L40/2)^2)</f>
        <v>5.830951894845301</v>
      </c>
      <c r="Y41" s="108"/>
      <c r="Z41" s="108"/>
      <c r="BD41" s="52"/>
    </row>
    <row r="42" spans="1:68" ht="13.5" thickBot="1">
      <c r="A42" s="111"/>
      <c r="B42" s="110"/>
      <c r="C42" s="108"/>
      <c r="D42" s="108"/>
      <c r="E42" s="108"/>
      <c r="F42" s="108"/>
      <c r="G42" s="108"/>
      <c r="H42" s="108"/>
      <c r="I42" s="120" t="s">
        <v>122</v>
      </c>
      <c r="J42" s="108"/>
      <c r="K42" s="108"/>
      <c r="L42" s="139">
        <v>3</v>
      </c>
      <c r="M42" s="138" t="s">
        <v>119</v>
      </c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40">
        <f>SQRT((L41-L42)^2+(L40/2)^2)</f>
        <v>8.602325267042627</v>
      </c>
      <c r="Y42" s="108"/>
      <c r="Z42" s="108"/>
      <c r="BD42" s="52"/>
      <c r="BE42" s="59">
        <v>2</v>
      </c>
      <c r="BG42" s="50"/>
      <c r="BH42" s="50"/>
      <c r="BI42" s="50"/>
      <c r="BJ42" s="50"/>
      <c r="BK42" s="50"/>
      <c r="BL42" s="50"/>
      <c r="BM42" s="50"/>
      <c r="BN42" s="50"/>
      <c r="BO42" s="50"/>
      <c r="BP42" s="50"/>
    </row>
    <row r="43" spans="1:68" ht="13.5" thickBot="1">
      <c r="A43" s="121"/>
      <c r="B43" s="115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BD43" s="52"/>
      <c r="BE43" s="60" t="s">
        <v>23</v>
      </c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</row>
    <row r="44" spans="1:68" ht="13.5" thickBot="1">
      <c r="A44" s="32"/>
      <c r="B44" s="33"/>
      <c r="C44" s="34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BE44" s="61" t="s">
        <v>24</v>
      </c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</row>
    <row r="45" spans="1:68" ht="12.75">
      <c r="A45" s="123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</row>
    <row r="46" spans="1:68" ht="15.75">
      <c r="A46" s="109" t="s">
        <v>19</v>
      </c>
      <c r="B46" s="110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BD46" s="52"/>
      <c r="BE46" s="62"/>
      <c r="BF46" s="62">
        <v>0</v>
      </c>
      <c r="BG46" s="62">
        <v>1</v>
      </c>
      <c r="BH46" s="62">
        <v>2</v>
      </c>
      <c r="BI46" s="62">
        <v>3</v>
      </c>
      <c r="BJ46" s="62">
        <v>4</v>
      </c>
      <c r="BK46" s="62">
        <v>5</v>
      </c>
      <c r="BL46" s="62">
        <v>6</v>
      </c>
      <c r="BM46" s="62">
        <v>7</v>
      </c>
      <c r="BN46" s="62">
        <v>8</v>
      </c>
      <c r="BO46" s="62"/>
      <c r="BP46" s="52"/>
    </row>
    <row r="47" spans="1:68" ht="18">
      <c r="A47" s="111"/>
      <c r="B47" s="110" t="s">
        <v>10</v>
      </c>
      <c r="C47" s="108"/>
      <c r="D47" s="108"/>
      <c r="E47" s="108"/>
      <c r="F47" s="108"/>
      <c r="G47" s="108"/>
      <c r="H47" s="108"/>
      <c r="I47" s="108"/>
      <c r="J47" s="112"/>
      <c r="K47" s="112" t="s">
        <v>27</v>
      </c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BD47" s="52"/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/>
      <c r="BP47" s="52"/>
    </row>
    <row r="48" spans="1:68" ht="15.75" thickBot="1">
      <c r="A48" s="111"/>
      <c r="B48" s="110"/>
      <c r="C48" s="108"/>
      <c r="D48" s="108"/>
      <c r="E48" s="108"/>
      <c r="F48" s="108"/>
      <c r="G48" s="108"/>
      <c r="H48" s="108"/>
      <c r="I48" s="130"/>
      <c r="J48" s="130"/>
      <c r="K48" s="130"/>
      <c r="L48" s="130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BD48" s="52"/>
      <c r="BE48" s="63">
        <v>1</v>
      </c>
      <c r="BF48" s="63">
        <v>0</v>
      </c>
      <c r="BG48" s="63">
        <v>8</v>
      </c>
      <c r="BH48" s="63">
        <v>10</v>
      </c>
      <c r="BI48" s="63">
        <v>10</v>
      </c>
      <c r="BJ48" s="63">
        <v>10</v>
      </c>
      <c r="BK48" s="63">
        <v>10</v>
      </c>
      <c r="BL48" s="63">
        <v>10</v>
      </c>
      <c r="BM48" s="63">
        <v>10</v>
      </c>
      <c r="BN48" s="63">
        <v>10</v>
      </c>
      <c r="BO48" s="63"/>
      <c r="BP48" s="54"/>
    </row>
    <row r="49" spans="1:68" ht="15.75" thickBot="1">
      <c r="A49" s="111"/>
      <c r="B49" s="118" t="s">
        <v>11</v>
      </c>
      <c r="C49" s="108">
        <f>VLOOKUP(BE60,BE60:BG64,3)</f>
        <v>35</v>
      </c>
      <c r="D49" s="108" t="s">
        <v>12</v>
      </c>
      <c r="E49" s="130"/>
      <c r="F49" s="130"/>
      <c r="G49" s="130"/>
      <c r="H49" s="130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BD49" s="52"/>
      <c r="BE49" s="59">
        <v>2</v>
      </c>
      <c r="BF49" s="59">
        <v>0</v>
      </c>
      <c r="BG49" s="59">
        <v>9</v>
      </c>
      <c r="BH49" s="59">
        <v>11</v>
      </c>
      <c r="BI49" s="59">
        <v>12</v>
      </c>
      <c r="BJ49" s="59">
        <v>13</v>
      </c>
      <c r="BK49" s="59">
        <v>13.5</v>
      </c>
      <c r="BL49" s="59">
        <v>14</v>
      </c>
      <c r="BM49" s="59">
        <v>14</v>
      </c>
      <c r="BN49" s="59">
        <v>14</v>
      </c>
      <c r="BO49" s="59"/>
      <c r="BP49" s="50"/>
    </row>
    <row r="50" spans="1:68" ht="13.5" thickBot="1">
      <c r="A50" s="121"/>
      <c r="B50" s="115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BD50" s="52"/>
      <c r="BE50" s="64">
        <v>3</v>
      </c>
      <c r="BF50" s="64">
        <v>0</v>
      </c>
      <c r="BG50" s="64">
        <v>10</v>
      </c>
      <c r="BH50" s="64">
        <v>12</v>
      </c>
      <c r="BI50" s="64">
        <v>13</v>
      </c>
      <c r="BJ50" s="64">
        <v>14</v>
      </c>
      <c r="BK50" s="64">
        <v>14.5</v>
      </c>
      <c r="BL50" s="64">
        <v>15</v>
      </c>
      <c r="BM50" s="64">
        <v>15</v>
      </c>
      <c r="BN50" s="64">
        <v>15</v>
      </c>
      <c r="BO50" s="64"/>
      <c r="BP50" s="51"/>
    </row>
    <row r="51" spans="1:68" s="50" customFormat="1" ht="13.5" thickBot="1">
      <c r="A51" s="52"/>
      <c r="B51" s="1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62">
        <v>4</v>
      </c>
      <c r="BF51" s="62">
        <v>0</v>
      </c>
      <c r="BG51" s="62">
        <v>10</v>
      </c>
      <c r="BH51" s="62">
        <v>12</v>
      </c>
      <c r="BI51" s="62">
        <v>14</v>
      </c>
      <c r="BJ51" s="62">
        <v>14.5</v>
      </c>
      <c r="BK51" s="62">
        <v>15</v>
      </c>
      <c r="BL51" s="62">
        <v>15.5</v>
      </c>
      <c r="BM51" s="62">
        <v>16</v>
      </c>
      <c r="BN51" s="62">
        <v>16</v>
      </c>
      <c r="BO51" s="71"/>
      <c r="BP51" s="52"/>
    </row>
    <row r="52" spans="1:68" ht="12.75">
      <c r="A52" s="123"/>
      <c r="B52" s="124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BD52" s="52"/>
      <c r="BE52" s="62">
        <v>5</v>
      </c>
      <c r="BF52" s="62">
        <v>0</v>
      </c>
      <c r="BG52" s="62">
        <v>10</v>
      </c>
      <c r="BH52" s="62">
        <v>12</v>
      </c>
      <c r="BI52" s="62">
        <v>14</v>
      </c>
      <c r="BJ52" s="62">
        <v>15</v>
      </c>
      <c r="BK52" s="62">
        <v>15.5</v>
      </c>
      <c r="BL52" s="62">
        <v>16</v>
      </c>
      <c r="BM52" s="62">
        <v>16</v>
      </c>
      <c r="BN52" s="62">
        <v>16</v>
      </c>
      <c r="BO52" s="52"/>
      <c r="BP52" s="52"/>
    </row>
    <row r="53" spans="1:68" ht="16.5" thickBot="1">
      <c r="A53" s="109" t="s">
        <v>106</v>
      </c>
      <c r="B53" s="110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BD53" s="5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52"/>
    </row>
    <row r="54" spans="1:68" ht="18.75" thickBot="1">
      <c r="A54" s="111"/>
      <c r="B54" s="113" t="s">
        <v>107</v>
      </c>
      <c r="C54" s="122">
        <v>0</v>
      </c>
      <c r="D54" s="120" t="s">
        <v>12</v>
      </c>
      <c r="E54" s="108"/>
      <c r="F54" s="108"/>
      <c r="G54" s="108"/>
      <c r="H54" s="108"/>
      <c r="I54" s="108"/>
      <c r="J54" s="112"/>
      <c r="K54" s="112" t="s">
        <v>108</v>
      </c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BD54" s="5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52"/>
    </row>
    <row r="55" spans="1:68" ht="12.75">
      <c r="A55" s="108"/>
      <c r="B55" s="114" t="s">
        <v>109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BD55" s="52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52"/>
    </row>
    <row r="56" spans="1:68" ht="13.5" thickBot="1">
      <c r="A56" s="117"/>
      <c r="B56" s="115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BD56" s="52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52"/>
    </row>
    <row r="57" spans="1:68" ht="13.5" thickBot="1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52"/>
    </row>
    <row r="58" spans="1:68" ht="12.75">
      <c r="A58" s="123"/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BD58" s="5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52"/>
    </row>
    <row r="59" spans="1:56" ht="16.5" thickBot="1">
      <c r="A59" s="109" t="s">
        <v>84</v>
      </c>
      <c r="B59" s="110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BD59" s="52"/>
    </row>
    <row r="60" spans="1:60" ht="23.25" customHeight="1" thickBot="1">
      <c r="A60" s="109"/>
      <c r="B60" s="110" t="s">
        <v>28</v>
      </c>
      <c r="C60" s="119">
        <f>IF(BE42=1,C22+C41,C22)+C54</f>
        <v>49.979400086720375</v>
      </c>
      <c r="D60" s="120" t="s">
        <v>40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BD60" s="52"/>
      <c r="BE60" s="52">
        <v>2</v>
      </c>
      <c r="BF60" s="55" t="s">
        <v>7</v>
      </c>
      <c r="BG60" s="56" t="s">
        <v>38</v>
      </c>
      <c r="BH60">
        <v>0</v>
      </c>
    </row>
    <row r="61" spans="1:60" ht="39" thickBot="1">
      <c r="A61" s="111"/>
      <c r="B61" s="110" t="s">
        <v>29</v>
      </c>
      <c r="C61" s="108">
        <f>C49</f>
        <v>35</v>
      </c>
      <c r="D61" s="108" t="s">
        <v>12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BD61" s="52"/>
      <c r="BE61" s="52">
        <v>1</v>
      </c>
      <c r="BF61" s="57" t="s">
        <v>18</v>
      </c>
      <c r="BG61" s="53">
        <v>30</v>
      </c>
      <c r="BH61">
        <v>2</v>
      </c>
    </row>
    <row r="62" spans="1:60" ht="13.5" customHeight="1" thickBot="1">
      <c r="A62" s="111"/>
      <c r="B62" s="110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BD62" s="52"/>
      <c r="BE62" s="52">
        <v>2</v>
      </c>
      <c r="BF62" s="57" t="s">
        <v>17</v>
      </c>
      <c r="BG62" s="53">
        <v>35</v>
      </c>
      <c r="BH62">
        <v>5</v>
      </c>
    </row>
    <row r="63" spans="1:60" ht="46.5" customHeight="1" thickBot="1">
      <c r="A63" s="111"/>
      <c r="B63" s="129" t="s">
        <v>30</v>
      </c>
      <c r="C63" s="149" t="str">
        <f>IF(C60&gt;C61,"You will need to consider further mitigation measures","The predicted noise level meets the criteria")</f>
        <v>You will need to consider further mitigation measures</v>
      </c>
      <c r="D63" s="150"/>
      <c r="E63" s="108"/>
      <c r="F63" s="126" t="s">
        <v>87</v>
      </c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BD63" s="52"/>
      <c r="BE63" s="52">
        <v>3</v>
      </c>
      <c r="BF63" s="57" t="s">
        <v>16</v>
      </c>
      <c r="BG63" s="53">
        <v>40</v>
      </c>
      <c r="BH63">
        <v>7</v>
      </c>
    </row>
    <row r="64" spans="1:60" ht="24.75" customHeight="1" thickBot="1">
      <c r="A64" s="121"/>
      <c r="B64" s="115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BD64" s="52"/>
      <c r="BE64" s="52">
        <v>4</v>
      </c>
      <c r="BF64" s="57" t="s">
        <v>15</v>
      </c>
      <c r="BG64" s="53">
        <v>45</v>
      </c>
      <c r="BH64">
        <v>10</v>
      </c>
    </row>
    <row r="65" ht="12.75"/>
    <row r="66" ht="12.75"/>
    <row r="67" ht="12.75"/>
    <row r="68" ht="12.75"/>
  </sheetData>
  <sheetProtection/>
  <mergeCells count="1">
    <mergeCell ref="C63:D63"/>
  </mergeCells>
  <conditionalFormatting sqref="C63:D63">
    <cfRule type="containsText" priority="1" dxfId="0" operator="containsText" stopIfTrue="1" text="further">
      <formula>NOT(ISERROR(SEARCH("further",C63)))</formula>
    </cfRule>
  </conditionalFormatting>
  <dataValidations count="1">
    <dataValidation type="list" allowBlank="1" showInputMessage="1" showErrorMessage="1" sqref="C54">
      <formula1>$BH$60:$BH$64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1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1.8515625" style="0" customWidth="1"/>
    <col min="6" max="6" width="24.7109375" style="0" customWidth="1"/>
    <col min="8" max="8" width="31.28125" style="0" customWidth="1"/>
    <col min="10" max="10" width="15.28125" style="0" customWidth="1"/>
  </cols>
  <sheetData>
    <row r="4" spans="1:10" ht="14.25">
      <c r="A4" s="44" t="s">
        <v>41</v>
      </c>
      <c r="F4" s="44" t="s">
        <v>61</v>
      </c>
      <c r="J4" s="44" t="s">
        <v>42</v>
      </c>
    </row>
    <row r="6" spans="1:12" ht="14.25">
      <c r="A6" t="s">
        <v>43</v>
      </c>
      <c r="B6" s="45">
        <v>1</v>
      </c>
      <c r="C6" t="s">
        <v>44</v>
      </c>
      <c r="F6" t="s">
        <v>45</v>
      </c>
      <c r="G6" s="45">
        <v>75</v>
      </c>
      <c r="H6" t="s">
        <v>46</v>
      </c>
      <c r="J6" t="s">
        <v>47</v>
      </c>
      <c r="K6" s="45">
        <v>1</v>
      </c>
      <c r="L6" t="s">
        <v>12</v>
      </c>
    </row>
    <row r="7" spans="1:12" ht="15" thickBot="1">
      <c r="A7" t="s">
        <v>60</v>
      </c>
      <c r="B7" s="49">
        <v>75</v>
      </c>
      <c r="C7" t="s">
        <v>12</v>
      </c>
      <c r="F7" t="s">
        <v>48</v>
      </c>
      <c r="G7" s="45">
        <v>1</v>
      </c>
      <c r="H7" t="s">
        <v>49</v>
      </c>
      <c r="J7" t="s">
        <v>50</v>
      </c>
      <c r="K7" s="45">
        <v>1</v>
      </c>
      <c r="L7" t="s">
        <v>12</v>
      </c>
    </row>
    <row r="8" spans="1:11" ht="15" thickBot="1">
      <c r="A8" t="s">
        <v>51</v>
      </c>
      <c r="B8" s="45">
        <v>10</v>
      </c>
      <c r="C8" t="s">
        <v>44</v>
      </c>
      <c r="F8" t="s">
        <v>52</v>
      </c>
      <c r="G8" s="46">
        <f>2*PI()*G7^2</f>
        <v>6.283185307179586</v>
      </c>
      <c r="H8" t="s">
        <v>53</v>
      </c>
      <c r="J8" t="s">
        <v>54</v>
      </c>
      <c r="K8" s="47">
        <f>10*LOG10(10^(K6/10)+10^(K7/10))</f>
        <v>4.0102999566398125</v>
      </c>
    </row>
    <row r="9" spans="1:8" ht="15" thickBot="1">
      <c r="A9" t="s">
        <v>55</v>
      </c>
      <c r="B9" s="47">
        <f>B7-20*LOG10(B8/B6)</f>
        <v>55</v>
      </c>
      <c r="C9" t="s">
        <v>12</v>
      </c>
      <c r="F9" t="s">
        <v>54</v>
      </c>
      <c r="G9" s="47">
        <f>G6+10*LOG10(G8)</f>
        <v>82.98179868358115</v>
      </c>
      <c r="H9" t="s">
        <v>62</v>
      </c>
    </row>
    <row r="12" spans="1:5" ht="12.75">
      <c r="A12" s="48" t="s">
        <v>56</v>
      </c>
      <c r="B12" s="48"/>
      <c r="C12" s="48" t="s">
        <v>56</v>
      </c>
      <c r="D12" s="48"/>
      <c r="E12" s="48" t="s">
        <v>56</v>
      </c>
    </row>
    <row r="13" spans="1:8" ht="14.25">
      <c r="A13" s="48" t="s">
        <v>57</v>
      </c>
      <c r="B13" s="48"/>
      <c r="C13" s="48" t="s">
        <v>58</v>
      </c>
      <c r="D13" s="48"/>
      <c r="E13" s="48" t="s">
        <v>59</v>
      </c>
      <c r="F13" t="s">
        <v>54</v>
      </c>
      <c r="G13" s="45">
        <v>83</v>
      </c>
      <c r="H13" t="s">
        <v>62</v>
      </c>
    </row>
    <row r="14" spans="6:8" ht="14.25">
      <c r="F14" t="s">
        <v>48</v>
      </c>
      <c r="G14" s="45">
        <v>10</v>
      </c>
      <c r="H14" t="s">
        <v>49</v>
      </c>
    </row>
    <row r="15" spans="6:8" ht="15" thickBot="1">
      <c r="F15" t="s">
        <v>52</v>
      </c>
      <c r="G15" s="46">
        <f>2*PI()*G14^2</f>
        <v>628.3185307179587</v>
      </c>
      <c r="H15" t="s">
        <v>53</v>
      </c>
    </row>
    <row r="16" spans="6:8" ht="15" thickBot="1">
      <c r="F16" t="s">
        <v>45</v>
      </c>
      <c r="G16" s="47">
        <f>G13-10*LOG10(G15)</f>
        <v>55.01820131641885</v>
      </c>
      <c r="H16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&amp;L&amp;1#&amp;"Calibri"&amp;8&amp;K000000For Official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t42150</dc:creator>
  <cp:keywords/>
  <dc:description/>
  <cp:lastModifiedBy>James Hart</cp:lastModifiedBy>
  <cp:lastPrinted>2014-05-08T09:04:37Z</cp:lastPrinted>
  <dcterms:created xsi:type="dcterms:W3CDTF">2008-05-29T22:57:51Z</dcterms:created>
  <dcterms:modified xsi:type="dcterms:W3CDTF">2023-12-19T02:53:24Z</dcterms:modified>
  <cp:category/>
  <cp:version/>
  <cp:contentType/>
  <cp:contentStatus/>
</cp:coreProperties>
</file>